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W:\WSPÓLNY\PRZETARGI\Przetargi 2021\08. Dostwa ENERGI dla GZE 2022\SWZ 08_21\"/>
    </mc:Choice>
  </mc:AlternateContent>
  <xr:revisionPtr revIDLastSave="0" documentId="13_ncr:1_{11330562-DB61-44E1-9BA5-289A37D2B6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ącznik nr 3B do SWZ" sheetId="1" r:id="rId1"/>
  </sheets>
  <definedNames>
    <definedName name="_xlnm.Print_Titles" localSheetId="0">'Załącznik nr 3B do SWZ'!$53:$55</definedName>
  </definedNames>
  <calcPr calcId="181029"/>
</workbook>
</file>

<file path=xl/calcChain.xml><?xml version="1.0" encoding="utf-8"?>
<calcChain xmlns="http://schemas.openxmlformats.org/spreadsheetml/2006/main">
  <c r="I56" i="1" l="1"/>
  <c r="E20" i="1"/>
  <c r="E19" i="1"/>
  <c r="G112" i="1"/>
  <c r="I111" i="1"/>
  <c r="G101" i="1"/>
  <c r="I100" i="1"/>
  <c r="E18" i="1"/>
  <c r="E17" i="1"/>
  <c r="E16" i="1"/>
  <c r="G91" i="1"/>
  <c r="I90" i="1"/>
  <c r="E30" i="1"/>
  <c r="E29" i="1"/>
  <c r="G179" i="1"/>
  <c r="I178" i="1"/>
  <c r="E28" i="1"/>
  <c r="E27" i="1"/>
  <c r="G168" i="1"/>
  <c r="I167" i="1"/>
  <c r="G157" i="1"/>
  <c r="I156" i="1"/>
  <c r="E26" i="1"/>
  <c r="E25" i="1"/>
  <c r="I146" i="1"/>
  <c r="E24" i="1"/>
  <c r="G147" i="1"/>
  <c r="E12" i="1"/>
  <c r="G57" i="1"/>
  <c r="K19" i="1" l="1"/>
  <c r="E38" i="1"/>
  <c r="I206" i="1"/>
  <c r="K206" i="1" s="1"/>
  <c r="L206" i="1" s="1"/>
  <c r="I217" i="1"/>
  <c r="K217" i="1" s="1"/>
  <c r="I228" i="1"/>
  <c r="K228" i="1" s="1"/>
  <c r="L217" i="1" l="1"/>
  <c r="K237" i="1"/>
  <c r="L237" i="1" s="1"/>
  <c r="L228" i="1"/>
  <c r="F232" i="1" l="1"/>
  <c r="F236" i="1" s="1"/>
  <c r="F224" i="1"/>
  <c r="F223" i="1"/>
  <c r="F222" i="1"/>
  <c r="F227" i="1" s="1"/>
  <c r="F213" i="1"/>
  <c r="F212" i="1"/>
  <c r="F211" i="1"/>
  <c r="F216" i="1" s="1"/>
  <c r="F215" i="1" l="1"/>
  <c r="F233" i="1"/>
  <c r="F226" i="1"/>
  <c r="F235" i="1"/>
  <c r="F201" i="1"/>
  <c r="F205" i="1" s="1"/>
  <c r="F191" i="1"/>
  <c r="F196" i="1" s="1"/>
  <c r="F182" i="1"/>
  <c r="F181" i="1"/>
  <c r="F180" i="1"/>
  <c r="F171" i="1"/>
  <c r="F170" i="1"/>
  <c r="F169" i="1"/>
  <c r="F175" i="1" s="1"/>
  <c r="F160" i="1"/>
  <c r="F159" i="1"/>
  <c r="F158" i="1"/>
  <c r="F148" i="1"/>
  <c r="F126" i="1"/>
  <c r="F127" i="1"/>
  <c r="F125" i="1"/>
  <c r="F124" i="1"/>
  <c r="F115" i="1"/>
  <c r="F114" i="1"/>
  <c r="F113" i="1"/>
  <c r="F119" i="1" s="1"/>
  <c r="K119" i="1" s="1"/>
  <c r="L119" i="1" s="1"/>
  <c r="F104" i="1"/>
  <c r="F103" i="1"/>
  <c r="F102" i="1"/>
  <c r="F92" i="1"/>
  <c r="F70" i="1"/>
  <c r="F71" i="1"/>
  <c r="F69" i="1"/>
  <c r="F68" i="1"/>
  <c r="F75" i="1" s="1"/>
  <c r="K75" i="1" s="1"/>
  <c r="L75" i="1" s="1"/>
  <c r="I225" i="1"/>
  <c r="I221" i="1"/>
  <c r="I214" i="1"/>
  <c r="I210" i="1"/>
  <c r="I203" i="1"/>
  <c r="I200" i="1"/>
  <c r="G234" i="1"/>
  <c r="F58" i="1"/>
  <c r="F61" i="1" l="1"/>
  <c r="F63" i="1"/>
  <c r="K63" i="1" s="1"/>
  <c r="L63" i="1" s="1"/>
  <c r="F96" i="1"/>
  <c r="F97" i="1"/>
  <c r="K97" i="1" s="1"/>
  <c r="L97" i="1" s="1"/>
  <c r="F106" i="1"/>
  <c r="F108" i="1"/>
  <c r="K108" i="1" s="1"/>
  <c r="L108" i="1" s="1"/>
  <c r="F136" i="1"/>
  <c r="F142" i="1" s="1"/>
  <c r="F131" i="1"/>
  <c r="K131" i="1" s="1"/>
  <c r="L131" i="1" s="1"/>
  <c r="F152" i="1"/>
  <c r="F153" i="1"/>
  <c r="K153" i="1" s="1"/>
  <c r="L153" i="1" s="1"/>
  <c r="F164" i="1"/>
  <c r="K164" i="1" s="1"/>
  <c r="L164" i="1" s="1"/>
  <c r="F174" i="1"/>
  <c r="K175" i="1"/>
  <c r="L175" i="1" s="1"/>
  <c r="F184" i="1"/>
  <c r="F186" i="1"/>
  <c r="K186" i="1" s="1"/>
  <c r="L186" i="1" s="1"/>
  <c r="F194" i="1"/>
  <c r="K196" i="1"/>
  <c r="L196" i="1" s="1"/>
  <c r="F173" i="1"/>
  <c r="F129" i="1"/>
  <c r="F202" i="1"/>
  <c r="F130" i="1"/>
  <c r="F195" i="1"/>
  <c r="F95" i="1"/>
  <c r="F192" i="1"/>
  <c r="F204" i="1"/>
  <c r="F185" i="1"/>
  <c r="F149" i="1"/>
  <c r="F59" i="1"/>
  <c r="F151" i="1"/>
  <c r="K57" i="1"/>
  <c r="F143" i="1" l="1"/>
  <c r="F141" i="1"/>
  <c r="K61" i="1"/>
  <c r="L61" i="1" s="1"/>
  <c r="O32" i="1"/>
  <c r="O31" i="1"/>
  <c r="O30" i="1"/>
  <c r="O29" i="1"/>
  <c r="O28" i="1"/>
  <c r="O27" i="1"/>
  <c r="O26" i="1"/>
  <c r="O25" i="1"/>
  <c r="K24" i="1"/>
  <c r="O24" i="1" s="1"/>
  <c r="K13" i="1"/>
  <c r="K14" i="1"/>
  <c r="O14" i="1" s="1"/>
  <c r="P14" i="1" s="1"/>
  <c r="K15" i="1"/>
  <c r="O15" i="1" s="1"/>
  <c r="P15" i="1" s="1"/>
  <c r="K16" i="1"/>
  <c r="O16" i="1" s="1"/>
  <c r="P16" i="1" s="1"/>
  <c r="K17" i="1"/>
  <c r="O17" i="1" s="1"/>
  <c r="P17" i="1" s="1"/>
  <c r="K18" i="1"/>
  <c r="O18" i="1" s="1"/>
  <c r="P18" i="1" s="1"/>
  <c r="O19" i="1"/>
  <c r="P19" i="1" s="1"/>
  <c r="K20" i="1"/>
  <c r="O20" i="1" s="1"/>
  <c r="P20" i="1" s="1"/>
  <c r="K21" i="1"/>
  <c r="O21" i="1" s="1"/>
  <c r="P21" i="1" s="1"/>
  <c r="K22" i="1"/>
  <c r="O22" i="1" s="1"/>
  <c r="P22" i="1" s="1"/>
  <c r="K23" i="1"/>
  <c r="O23" i="1" s="1"/>
  <c r="P23" i="1" s="1"/>
  <c r="K12" i="1"/>
  <c r="O12" i="1" s="1"/>
  <c r="P12" i="1" s="1"/>
  <c r="P32" i="1" l="1"/>
  <c r="P27" i="1"/>
  <c r="P31" i="1"/>
  <c r="P30" i="1"/>
  <c r="P26" i="1"/>
  <c r="P29" i="1"/>
  <c r="P25" i="1"/>
  <c r="P28" i="1"/>
  <c r="P24" i="1"/>
  <c r="O13" i="1"/>
  <c r="P13" i="1" s="1"/>
  <c r="F93" i="1"/>
  <c r="F83" i="1"/>
  <c r="F82" i="1"/>
  <c r="F81" i="1"/>
  <c r="G140" i="1" l="1"/>
  <c r="G128" i="1"/>
  <c r="G84" i="1"/>
  <c r="G72" i="1"/>
  <c r="K214" i="1" l="1"/>
  <c r="K223" i="1"/>
  <c r="Q24" i="1" l="1"/>
  <c r="K56" i="1"/>
  <c r="L56" i="1" s="1"/>
  <c r="G37" i="1" l="1"/>
  <c r="H37" i="1" s="1"/>
  <c r="G36" i="1"/>
  <c r="H36" i="1" s="1"/>
  <c r="G35" i="1"/>
  <c r="H35" i="1" s="1"/>
  <c r="G34" i="1"/>
  <c r="H34" i="1" s="1"/>
  <c r="G33" i="1"/>
  <c r="H33" i="1" s="1"/>
  <c r="H39" i="1" l="1"/>
  <c r="Q32" i="1"/>
  <c r="Q17" i="1"/>
  <c r="Q25" i="1"/>
  <c r="Q29" i="1"/>
  <c r="Q18" i="1"/>
  <c r="Q26" i="1"/>
  <c r="Q30" i="1"/>
  <c r="Q19" i="1"/>
  <c r="Q27" i="1"/>
  <c r="Q31" i="1"/>
  <c r="Q16" i="1"/>
  <c r="Q20" i="1"/>
  <c r="Q28" i="1"/>
  <c r="F138" i="1"/>
  <c r="K143" i="1" s="1"/>
  <c r="L143" i="1" s="1"/>
  <c r="G116" i="1"/>
  <c r="Q12" i="1" l="1"/>
  <c r="Q13" i="1"/>
  <c r="Q15" i="1"/>
  <c r="Q14" i="1"/>
  <c r="F139" i="1"/>
  <c r="F137" i="1"/>
  <c r="Q22" i="1" l="1"/>
  <c r="Q23" i="1"/>
  <c r="Q21" i="1"/>
  <c r="G193" i="1"/>
  <c r="Q39" i="1" l="1"/>
  <c r="Q40" i="1" s="1"/>
  <c r="G60" i="1"/>
  <c r="G94" i="1"/>
  <c r="G105" i="1"/>
  <c r="G172" i="1" l="1"/>
  <c r="G183" i="1"/>
  <c r="K234" i="1" l="1"/>
  <c r="L234" i="1" s="1"/>
  <c r="K231" i="1"/>
  <c r="K233" i="1"/>
  <c r="L233" i="1" s="1"/>
  <c r="L214" i="1"/>
  <c r="K213" i="1"/>
  <c r="L213" i="1" s="1"/>
  <c r="K212" i="1"/>
  <c r="L212" i="1" s="1"/>
  <c r="K210" i="1"/>
  <c r="L210" i="1" s="1"/>
  <c r="K209" i="1"/>
  <c r="L209" i="1" s="1"/>
  <c r="K236" i="1" l="1"/>
  <c r="L236" i="1" s="1"/>
  <c r="K235" i="1"/>
  <c r="L235" i="1" s="1"/>
  <c r="K216" i="1"/>
  <c r="L216" i="1" s="1"/>
  <c r="K215" i="1"/>
  <c r="L215" i="1" s="1"/>
  <c r="L231" i="1"/>
  <c r="K232" i="1"/>
  <c r="L232" i="1" s="1"/>
  <c r="K211" i="1"/>
  <c r="L211" i="1" s="1"/>
  <c r="K58" i="1"/>
  <c r="K59" i="1"/>
  <c r="K60" i="1"/>
  <c r="F62" i="1"/>
  <c r="K62" i="1" s="1"/>
  <c r="K66" i="1"/>
  <c r="K67" i="1"/>
  <c r="K69" i="1"/>
  <c r="K70" i="1"/>
  <c r="K71" i="1"/>
  <c r="K72" i="1"/>
  <c r="K78" i="1"/>
  <c r="K79" i="1"/>
  <c r="F80" i="1"/>
  <c r="F87" i="1" s="1"/>
  <c r="K87" i="1" s="1"/>
  <c r="L87" i="1" s="1"/>
  <c r="K81" i="1"/>
  <c r="K82" i="1"/>
  <c r="K83" i="1"/>
  <c r="K84" i="1"/>
  <c r="K90" i="1"/>
  <c r="K91" i="1"/>
  <c r="K92" i="1"/>
  <c r="K93" i="1"/>
  <c r="K94" i="1"/>
  <c r="K100" i="1"/>
  <c r="K101" i="1"/>
  <c r="K102" i="1"/>
  <c r="K103" i="1"/>
  <c r="K104" i="1"/>
  <c r="K105" i="1"/>
  <c r="K111" i="1"/>
  <c r="K112" i="1"/>
  <c r="K113" i="1"/>
  <c r="K114" i="1"/>
  <c r="K115" i="1"/>
  <c r="K116" i="1"/>
  <c r="K122" i="1"/>
  <c r="K123" i="1"/>
  <c r="K124" i="1"/>
  <c r="K125" i="1"/>
  <c r="K126" i="1"/>
  <c r="K127" i="1"/>
  <c r="K128" i="1"/>
  <c r="K134" i="1"/>
  <c r="K135" i="1"/>
  <c r="K137" i="1"/>
  <c r="K138" i="1"/>
  <c r="K139" i="1"/>
  <c r="K140" i="1"/>
  <c r="K146" i="1"/>
  <c r="K147" i="1"/>
  <c r="K148" i="1"/>
  <c r="K149" i="1"/>
  <c r="G150" i="1"/>
  <c r="K150" i="1" s="1"/>
  <c r="K156" i="1"/>
  <c r="K157" i="1"/>
  <c r="F163" i="1"/>
  <c r="K159" i="1"/>
  <c r="K160" i="1"/>
  <c r="G161" i="1"/>
  <c r="K161" i="1" s="1"/>
  <c r="K167" i="1"/>
  <c r="K168" i="1"/>
  <c r="K169" i="1"/>
  <c r="K170" i="1"/>
  <c r="K171" i="1"/>
  <c r="K172" i="1"/>
  <c r="K178" i="1"/>
  <c r="K179" i="1"/>
  <c r="K180" i="1"/>
  <c r="K181" i="1"/>
  <c r="K182" i="1"/>
  <c r="K183" i="1"/>
  <c r="K189" i="1"/>
  <c r="K190" i="1"/>
  <c r="K191" i="1"/>
  <c r="K192" i="1"/>
  <c r="K193" i="1"/>
  <c r="K199" i="1"/>
  <c r="K200" i="1"/>
  <c r="K201" i="1"/>
  <c r="K202" i="1"/>
  <c r="K203" i="1"/>
  <c r="K220" i="1"/>
  <c r="K221" i="1"/>
  <c r="K222" i="1"/>
  <c r="K224" i="1"/>
  <c r="K225" i="1"/>
  <c r="L218" i="1" l="1"/>
  <c r="L238" i="1"/>
  <c r="K152" i="1"/>
  <c r="L152" i="1" s="1"/>
  <c r="K151" i="1"/>
  <c r="L151" i="1" s="1"/>
  <c r="K68" i="1"/>
  <c r="F73" i="1"/>
  <c r="K73" i="1" s="1"/>
  <c r="L73" i="1" s="1"/>
  <c r="K163" i="1"/>
  <c r="F162" i="1"/>
  <c r="K162" i="1" s="1"/>
  <c r="L162" i="1" s="1"/>
  <c r="F86" i="1"/>
  <c r="K86" i="1" s="1"/>
  <c r="F85" i="1"/>
  <c r="K85" i="1" s="1"/>
  <c r="L85" i="1" s="1"/>
  <c r="K142" i="1"/>
  <c r="K141" i="1"/>
  <c r="L141" i="1" s="1"/>
  <c r="K205" i="1"/>
  <c r="L205" i="1" s="1"/>
  <c r="K204" i="1"/>
  <c r="L204" i="1" s="1"/>
  <c r="K158" i="1"/>
  <c r="L158" i="1" s="1"/>
  <c r="K80" i="1"/>
  <c r="L80" i="1" s="1"/>
  <c r="F107" i="1"/>
  <c r="K136" i="1"/>
  <c r="L136" i="1" s="1"/>
  <c r="F74" i="1"/>
  <c r="K74" i="1" s="1"/>
  <c r="L74" i="1" s="1"/>
  <c r="F118" i="1"/>
  <c r="L161" i="1"/>
  <c r="L150" i="1"/>
  <c r="L193" i="1"/>
  <c r="L183" i="1"/>
  <c r="L172" i="1"/>
  <c r="L140" i="1"/>
  <c r="L128" i="1"/>
  <c r="L116" i="1"/>
  <c r="L105" i="1"/>
  <c r="L94" i="1"/>
  <c r="L84" i="1"/>
  <c r="L72" i="1"/>
  <c r="L60" i="1"/>
  <c r="L203" i="1"/>
  <c r="L200" i="1"/>
  <c r="L199" i="1"/>
  <c r="L221" i="1"/>
  <c r="L225" i="1"/>
  <c r="L224" i="1"/>
  <c r="L223" i="1"/>
  <c r="L220" i="1"/>
  <c r="L202" i="1"/>
  <c r="L192" i="1"/>
  <c r="L190" i="1"/>
  <c r="L189" i="1"/>
  <c r="L182" i="1"/>
  <c r="L181" i="1"/>
  <c r="L179" i="1"/>
  <c r="L178" i="1"/>
  <c r="L171" i="1"/>
  <c r="L170" i="1"/>
  <c r="L168" i="1"/>
  <c r="L167" i="1"/>
  <c r="L160" i="1"/>
  <c r="L159" i="1"/>
  <c r="L157" i="1"/>
  <c r="L156" i="1"/>
  <c r="L149" i="1"/>
  <c r="L147" i="1"/>
  <c r="L146" i="1"/>
  <c r="L139" i="1"/>
  <c r="L138" i="1"/>
  <c r="L135" i="1"/>
  <c r="L134" i="1"/>
  <c r="L127" i="1"/>
  <c r="L126" i="1"/>
  <c r="L125" i="1"/>
  <c r="L123" i="1"/>
  <c r="L122" i="1"/>
  <c r="L115" i="1"/>
  <c r="L114" i="1"/>
  <c r="L112" i="1"/>
  <c r="L111" i="1"/>
  <c r="L104" i="1"/>
  <c r="L103" i="1"/>
  <c r="L100" i="1"/>
  <c r="L93" i="1"/>
  <c r="L91" i="1"/>
  <c r="L90" i="1"/>
  <c r="L83" i="1"/>
  <c r="L82" i="1"/>
  <c r="L81" i="1"/>
  <c r="L79" i="1"/>
  <c r="L78" i="1"/>
  <c r="L71" i="1"/>
  <c r="L70" i="1"/>
  <c r="L69" i="1"/>
  <c r="L67" i="1"/>
  <c r="L66" i="1"/>
  <c r="L59" i="1"/>
  <c r="L58" i="1"/>
  <c r="L57" i="1"/>
  <c r="L222" i="1"/>
  <c r="L201" i="1"/>
  <c r="L180" i="1"/>
  <c r="L169" i="1"/>
  <c r="L148" i="1"/>
  <c r="L124" i="1"/>
  <c r="L102" i="1"/>
  <c r="L92" i="1"/>
  <c r="L62" i="1"/>
  <c r="L101" i="1"/>
  <c r="L137" i="1"/>
  <c r="L64" i="1" l="1"/>
  <c r="L154" i="1"/>
  <c r="L207" i="1"/>
  <c r="K118" i="1"/>
  <c r="L118" i="1" s="1"/>
  <c r="F117" i="1"/>
  <c r="K117" i="1" s="1"/>
  <c r="L117" i="1" s="1"/>
  <c r="K185" i="1"/>
  <c r="L185" i="1" s="1"/>
  <c r="K184" i="1"/>
  <c r="L184" i="1" s="1"/>
  <c r="K174" i="1"/>
  <c r="L174" i="1" s="1"/>
  <c r="K173" i="1"/>
  <c r="L173" i="1" s="1"/>
  <c r="K107" i="1"/>
  <c r="L107" i="1" s="1"/>
  <c r="K106" i="1"/>
  <c r="L106" i="1" s="1"/>
  <c r="L109" i="1" s="1"/>
  <c r="K227" i="1"/>
  <c r="L227" i="1" s="1"/>
  <c r="K226" i="1"/>
  <c r="L226" i="1" s="1"/>
  <c r="K130" i="1"/>
  <c r="L130" i="1" s="1"/>
  <c r="K129" i="1"/>
  <c r="L129" i="1" s="1"/>
  <c r="K96" i="1"/>
  <c r="L96" i="1" s="1"/>
  <c r="K95" i="1"/>
  <c r="L95" i="1" s="1"/>
  <c r="K195" i="1"/>
  <c r="L195" i="1" s="1"/>
  <c r="K194" i="1"/>
  <c r="L194" i="1" s="1"/>
  <c r="L142" i="1"/>
  <c r="L144" i="1" s="1"/>
  <c r="L86" i="1"/>
  <c r="L88" i="1" s="1"/>
  <c r="L191" i="1"/>
  <c r="L68" i="1"/>
  <c r="L76" i="1" s="1"/>
  <c r="L113" i="1"/>
  <c r="L163" i="1"/>
  <c r="L165" i="1" s="1"/>
  <c r="L132" i="1" l="1"/>
  <c r="L98" i="1"/>
  <c r="L120" i="1"/>
  <c r="L229" i="1"/>
  <c r="L176" i="1"/>
  <c r="L197" i="1"/>
  <c r="L187" i="1"/>
  <c r="L239" i="1" s="1"/>
  <c r="L240" i="1" l="1"/>
</calcChain>
</file>

<file path=xl/sharedStrings.xml><?xml version="1.0" encoding="utf-8"?>
<sst xmlns="http://schemas.openxmlformats.org/spreadsheetml/2006/main" count="632" uniqueCount="161">
  <si>
    <t>FORMULARZ  CENOWY</t>
  </si>
  <si>
    <t>Lp</t>
  </si>
  <si>
    <t>TARYFA</t>
  </si>
  <si>
    <t>STREFA </t>
  </si>
  <si>
    <t>Wartość netto</t>
  </si>
  <si>
    <t>kWh</t>
  </si>
  <si>
    <t>PLN/kWh</t>
  </si>
  <si>
    <t>PLN</t>
  </si>
  <si>
    <t>a</t>
  </si>
  <si>
    <t>B21</t>
  </si>
  <si>
    <t>Jednostrefowa</t>
  </si>
  <si>
    <t>b</t>
  </si>
  <si>
    <t>Szczyt</t>
  </si>
  <si>
    <t>c</t>
  </si>
  <si>
    <t>Pozaszczyt</t>
  </si>
  <si>
    <t>d</t>
  </si>
  <si>
    <t>B23</t>
  </si>
  <si>
    <t>e</t>
  </si>
  <si>
    <t>f</t>
  </si>
  <si>
    <t>Pozostałe godziny doby</t>
  </si>
  <si>
    <t>g</t>
  </si>
  <si>
    <t>h</t>
  </si>
  <si>
    <t>C21</t>
  </si>
  <si>
    <t>C22a</t>
  </si>
  <si>
    <t>C22b</t>
  </si>
  <si>
    <t>Dzień</t>
  </si>
  <si>
    <t>Noc</t>
  </si>
  <si>
    <t>C23</t>
  </si>
  <si>
    <t>C11</t>
  </si>
  <si>
    <t>C12a</t>
  </si>
  <si>
    <t>C12b</t>
  </si>
  <si>
    <t>C12w</t>
  </si>
  <si>
    <t>C11o</t>
  </si>
  <si>
    <t>Całodobowa</t>
  </si>
  <si>
    <t>G11</t>
  </si>
  <si>
    <t>G12w</t>
  </si>
  <si>
    <t>Element usługi kompleksowej</t>
  </si>
  <si>
    <t>j.m.</t>
  </si>
  <si>
    <t>Ilość</t>
  </si>
  <si>
    <t>Cena jednostkowa</t>
  </si>
  <si>
    <t>Wartość brutto</t>
  </si>
  <si>
    <t>kW</t>
  </si>
  <si>
    <t>m-cy</t>
  </si>
  <si>
    <t>PPE</t>
  </si>
  <si>
    <t>[PLN]</t>
  </si>
  <si>
    <t xml:space="preserve"> Usługa dystrybucji energii dla taryfy  B 21</t>
  </si>
  <si>
    <t>Opłata abonamentowa</t>
  </si>
  <si>
    <t>zł/m-c</t>
  </si>
  <si>
    <t>Stawka opłaty przejściowej</t>
  </si>
  <si>
    <t>zł/kW/m-c</t>
  </si>
  <si>
    <t>Stawka opłaty jakościowej</t>
  </si>
  <si>
    <t>zł/kWh</t>
  </si>
  <si>
    <t>Składnik zmienny stawki sieciowej całodobowy</t>
  </si>
  <si>
    <t>Składnik stały stawki sieciowej</t>
  </si>
  <si>
    <t>Stawka opłaty OZE</t>
  </si>
  <si>
    <t>Składnik zmienny stawki sieciowej dzienny/szczytowy</t>
  </si>
  <si>
    <t>Składnik zmienny stawki sieciowej nocny/pozaszczytowy</t>
  </si>
  <si>
    <t xml:space="preserve"> Usługa dystrybucji energii dla taryfy B 23 - ZIMA  (1 października - 31 marca)</t>
  </si>
  <si>
    <t>Składnik zmienny stawki sieciowej szczyt przedpołudniowy</t>
  </si>
  <si>
    <t>Składnik zmienny stawki sieciowej szczyt popołudniowy</t>
  </si>
  <si>
    <t>Składnik zmienny stawki sieciowej pozostałe godziny doby</t>
  </si>
  <si>
    <t xml:space="preserve"> Usługa dystrybucji energii dla taryfy  C 21</t>
  </si>
  <si>
    <t xml:space="preserve"> Usługa dystrybucji energii dla taryfy C 22a</t>
  </si>
  <si>
    <t xml:space="preserve"> Usługa dystrybucji energii dla taryfy C 22b</t>
  </si>
  <si>
    <t xml:space="preserve"> Usługa dystrybucji energii dla taryfy C 23 - ZIMA  (1 października - 31 marca)</t>
  </si>
  <si>
    <t xml:space="preserve"> Usługa dystrybucji energii dla taryfy  C 11</t>
  </si>
  <si>
    <t xml:space="preserve"> Usługa dystrybucji energii dla taryfy C 12a</t>
  </si>
  <si>
    <t xml:space="preserve"> Usługa dystrybucji energii dla taryfy C 12b</t>
  </si>
  <si>
    <t xml:space="preserve"> Usługa dystrybucji energii dla taryfy C 12w</t>
  </si>
  <si>
    <t xml:space="preserve"> Usługa dystrybucji energii dla taryfy  C 11o</t>
  </si>
  <si>
    <t xml:space="preserve"> Usługa dystrybucji energii dla taryfy  G 11</t>
  </si>
  <si>
    <t xml:space="preserve"> Usługa dystrybucji energii dla taryfy G 12w</t>
  </si>
  <si>
    <t>III</t>
  </si>
  <si>
    <t>2) Ilości wskazane w Formularzu cenowym mają charakter jedynie orientacyjny służący ocenie oferty i w żadnym wypadku nie stanowią ze strony Zamawiającego zobowiązania do ich zakupu w podanej ilości.</t>
  </si>
  <si>
    <t>……………………………………………………………………..</t>
  </si>
  <si>
    <t>pieczęć i podpis osoby upoważnionej</t>
  </si>
  <si>
    <t>II</t>
  </si>
  <si>
    <t xml:space="preserve">1) Wszystkie ceny jednostkowe  należy podać z dokładnością do 5 miejsc po przecinku. </t>
  </si>
  <si>
    <t>3) Komórki w kolorze beżowym są komórkami odblokowanymi w celu umożliwienia wypełnienia Formularza cenowego.</t>
  </si>
  <si>
    <t>Szczyt przdpołudniowy</t>
  </si>
  <si>
    <t>Szczyt popołudniowy</t>
  </si>
  <si>
    <t>G12</t>
  </si>
  <si>
    <t>R</t>
  </si>
  <si>
    <t>i</t>
  </si>
  <si>
    <t>j</t>
  </si>
  <si>
    <t>k</t>
  </si>
  <si>
    <t>l</t>
  </si>
  <si>
    <t>ł</t>
  </si>
  <si>
    <t>m</t>
  </si>
  <si>
    <t>n</t>
  </si>
  <si>
    <t>o</t>
  </si>
  <si>
    <t>p</t>
  </si>
  <si>
    <t>r</t>
  </si>
  <si>
    <t>s</t>
  </si>
  <si>
    <t>t</t>
  </si>
  <si>
    <t>u</t>
  </si>
  <si>
    <t>v</t>
  </si>
  <si>
    <t>w</t>
  </si>
  <si>
    <t>x</t>
  </si>
  <si>
    <t>y</t>
  </si>
  <si>
    <t>z</t>
  </si>
  <si>
    <t>UWAGA:</t>
  </si>
  <si>
    <t xml:space="preserve"> Usługa dystrybucji energii dla taryfy B 23 - LATO  (1 kwietnia - 30 września)</t>
  </si>
  <si>
    <t xml:space="preserve"> Usługa dystrybucji energii dla taryfy C 23 - LATO  (1 kwietnia - 30 września)</t>
  </si>
  <si>
    <t xml:space="preserve"> Usługa dystrybucji energii dla taryfy G 12</t>
  </si>
  <si>
    <t xml:space="preserve"> Usługa dystrybucji energii dla taryfy R</t>
  </si>
  <si>
    <t>------</t>
  </si>
  <si>
    <t>Cena
jednostkowa
netto (1)</t>
  </si>
  <si>
    <r>
      <t xml:space="preserve">Wartość brutto
</t>
    </r>
    <r>
      <rPr>
        <sz val="12"/>
        <color rgb="FF000000"/>
        <rFont val="Calibri"/>
        <family val="2"/>
        <charset val="238"/>
      </rPr>
      <t>(zawiera VAT = 23%)</t>
    </r>
  </si>
  <si>
    <r>
      <t xml:space="preserve">Wartość netto
</t>
    </r>
    <r>
      <rPr>
        <sz val="12"/>
        <color rgb="FF000000"/>
        <rFont val="Calibri"/>
        <family val="2"/>
        <charset val="238"/>
      </rPr>
      <t>(bez podatku VAT)</t>
    </r>
  </si>
  <si>
    <r>
      <t xml:space="preserve">Energia elektryczna czynna dla gr. taryfowej  </t>
    </r>
    <r>
      <rPr>
        <b/>
        <sz val="14"/>
        <color rgb="FF000000"/>
        <rFont val="Calibri"/>
        <family val="2"/>
        <charset val="238"/>
      </rPr>
      <t>G</t>
    </r>
  </si>
  <si>
    <r>
      <t xml:space="preserve">WOLUMEN ŁĄCZNIE:
</t>
    </r>
    <r>
      <rPr>
        <sz val="12"/>
        <color rgb="FF000000"/>
        <rFont val="Calibri"/>
        <family val="2"/>
        <charset val="238"/>
      </rPr>
      <t xml:space="preserve">(na 12 m-cy)   </t>
    </r>
  </si>
  <si>
    <r>
      <t xml:space="preserve">Wartość netto
</t>
    </r>
    <r>
      <rPr>
        <sz val="12"/>
        <color rgb="FF000000"/>
        <rFont val="Calibri"/>
        <family val="2"/>
        <charset val="238"/>
      </rPr>
      <t>(na 12 m-cy)</t>
    </r>
  </si>
  <si>
    <t>(wyliczona wg wzoru =
kolumna 4 x kolumna 5)</t>
  </si>
  <si>
    <t>I</t>
  </si>
  <si>
    <r>
      <t xml:space="preserve">Energia elektryczna czynna dla gr. taryfowych: </t>
    </r>
    <r>
      <rPr>
        <b/>
        <sz val="14"/>
        <color rgb="FF000000"/>
        <rFont val="Calibri"/>
        <family val="2"/>
        <charset val="238"/>
      </rPr>
      <t>Bxx, Cxx, R</t>
    </r>
  </si>
  <si>
    <t>5) Ceny wymienione w części II Fomularza cenowego winny być opracowane na podstawie aktualnej Taryfy OSD obowiązującej na dzień składania oferty.</t>
  </si>
  <si>
    <t>OGÓŁEM  KWOTA BRUTTO WYKONANIA PRZEDMIOTU ZAMÓWIENIA  (suma I i II) :</t>
  </si>
  <si>
    <t>Cena netto energii konwencjonalnej (2)</t>
  </si>
  <si>
    <r>
      <t xml:space="preserve"> 3 -   </t>
    </r>
    <r>
      <rPr>
        <b/>
        <sz val="10"/>
        <rFont val="Arial"/>
        <family val="2"/>
        <charset val="238"/>
      </rPr>
      <t>Z</t>
    </r>
    <r>
      <rPr>
        <sz val="10"/>
        <rFont val="Arial"/>
        <family val="2"/>
        <charset val="238"/>
      </rPr>
      <t xml:space="preserve">  -  wskaźnik charakterystyki poboru energii elektrycznej w poszczególnych strefach grup taryfowych</t>
    </r>
  </si>
  <si>
    <r>
      <t xml:space="preserve"> 5 -   </t>
    </r>
    <r>
      <rPr>
        <b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- stawka podatku akcyzowego zgodnie z Ustawą z dnia 28 grudnia 2018r.  o zmianie ustawy o podatku akcyzowym oraz niektórych innych ustaw (Dz. U. 2018 poz.2538)</t>
    </r>
  </si>
  <si>
    <t>Z - wskaźnik 
charakterystyki poboru energii elektrycznej (3)</t>
  </si>
  <si>
    <t>K - składnik
     stały (4)
  netto</t>
  </si>
  <si>
    <t>A - akcyza (5)
netto</t>
  </si>
  <si>
    <r>
      <t xml:space="preserve"> 4 -   </t>
    </r>
    <r>
      <rPr>
        <b/>
        <sz val="10"/>
        <rFont val="Arial"/>
        <family val="2"/>
        <charset val="238"/>
      </rPr>
      <t>K</t>
    </r>
    <r>
      <rPr>
        <sz val="10"/>
        <rFont val="Arial"/>
        <family val="2"/>
        <charset val="238"/>
      </rPr>
      <t xml:space="preserve">  - składnik stały ( uwzględniający marżę Wykonawcy, koszt bilansowania handlowego i grafikowania, opłaty transakcyjne)</t>
    </r>
  </si>
  <si>
    <t>Ceny energii elektrycznej (obrót)</t>
  </si>
  <si>
    <r>
      <t xml:space="preserve">ENERGIA ELEKTRYCZNA RAZEM:
</t>
    </r>
    <r>
      <rPr>
        <sz val="14"/>
        <color rgb="FF000000"/>
        <rFont val="Calibri"/>
        <family val="2"/>
        <charset val="238"/>
      </rPr>
      <t>(w zależności od grupy odbiorców)</t>
    </r>
  </si>
  <si>
    <t>Stawka opłaty kogeneracyjnej</t>
  </si>
  <si>
    <t xml:space="preserve"> Łączna kwota opłat za usługi dystrybucji dla Taryfy  B 21  (suma wierszy a-g)</t>
  </si>
  <si>
    <t xml:space="preserve"> Łączna kwota opłat za usługi dystrybucji dla Taryfy B 23 - ZIMA  (suma wierszy a-i)</t>
  </si>
  <si>
    <t xml:space="preserve"> Łączna kwota opłat za usługi dystrybucji dla Taryfy B 23 - LATO (suma wierszy a-i)</t>
  </si>
  <si>
    <t xml:space="preserve"> Łączna kwota opłat za usługi dystrybucji dla Taryfy  C 21  (suma wierszy a-g)</t>
  </si>
  <si>
    <t xml:space="preserve"> Łączna kwota opłat za usługi dystrybucji dla Taryfy C 22a (suma wierszy a-h)</t>
  </si>
  <si>
    <t xml:space="preserve"> Łączna kwota opłat za usługi dystrybucji dla Taryfy C 22b (suma wierszy a-h)</t>
  </si>
  <si>
    <t xml:space="preserve"> Łączna kwota opłat za usługi dystrybucji dla Taryfy C 23 - ZIMA (suma wierszy a-i)</t>
  </si>
  <si>
    <t xml:space="preserve"> Łączna kwota opłat za usługi dystrybucji dla Taryfy C 23 - LATO (suma wierszy a-i)</t>
  </si>
  <si>
    <t xml:space="preserve"> Łączna kwota opłat za usługi dystrybucji dla Taryfy  C 11  (suma wierszy a-g)</t>
  </si>
  <si>
    <t xml:space="preserve"> Łączna kwota opłat za usługi dystrybucji dla Taryfy C 12a (suma wierszy a-h)</t>
  </si>
  <si>
    <t xml:space="preserve"> Łączna kwota opłat za usługi dystrybucji dla Taryfy C 12b (suma wierszy a-h)</t>
  </si>
  <si>
    <t xml:space="preserve"> Łączna kwota opłat za usługi dystrybucji dla Taryfy C 12w (suma wierszy a-h)</t>
  </si>
  <si>
    <t xml:space="preserve"> Łączna kwota opłat za usługi dystrybucji dla Taryfy  C 11o  (suma wierszy a-h)</t>
  </si>
  <si>
    <t xml:space="preserve"> Łączna kwota opłat za usługi dystrybucji dla Taryfy  G 11  (suma wierszy a-g)</t>
  </si>
  <si>
    <t xml:space="preserve"> Łączna kwota opłat za usługi dystrybucji dla Taryfy G 12 (suma wierszy a-h)</t>
  </si>
  <si>
    <t xml:space="preserve"> Łączna kwota opłat za usługi dystrybucji dla Taryfy G 12w (suma wierszy a-h)</t>
  </si>
  <si>
    <t xml:space="preserve"> Łączna kwota opłat za usługi dystrybucji dla Taryfy  R  (suma wierszy a-f)</t>
  </si>
  <si>
    <t>Załącznik nr 3B do SWZ</t>
  </si>
  <si>
    <r>
      <t xml:space="preserve">Ceny netto za energię 
konwencjonalną w określonej strefie
</t>
    </r>
    <r>
      <rPr>
        <b/>
        <sz val="14"/>
        <color indexed="8"/>
        <rFont val="Calibri"/>
        <family val="2"/>
        <charset val="238"/>
      </rPr>
      <t>I_BASE_22</t>
    </r>
    <r>
      <rPr>
        <b/>
        <sz val="12"/>
        <color indexed="8"/>
        <rFont val="Calibri"/>
        <family val="2"/>
        <charset val="238"/>
      </rPr>
      <t xml:space="preserve"> * Z</t>
    </r>
  </si>
  <si>
    <t>Rok 2022</t>
  </si>
  <si>
    <t>I_BASE_22</t>
  </si>
  <si>
    <t>Cee_22</t>
  </si>
  <si>
    <t>Ceny jednostkowe netto energii elektrycznej
Cee_22 = (I_BASE_22 * Z) + K + A + PM_22</t>
  </si>
  <si>
    <t>PM_22 - koszt netto obowiązku zakupu praw majątkowych (6)</t>
  </si>
  <si>
    <t xml:space="preserve"> 6 -   Zamawiający przyjął tylko do kalkulacji oferty koszt praw majątkowych PM_22 w wysokości 0,033 PLN /kWh. Odbiorca/Zamawiający zostanie rozliczony po wartościach dla
        PM_22 z dnia zakupu tj. z dnia rozstrzygnięcia postępowania nr 08/PN/2021.</t>
  </si>
  <si>
    <t>Ilość
szacunkowa
energii
elektrycznej
na 2022 r.</t>
  </si>
  <si>
    <r>
      <t xml:space="preserve">ENERGIA ELEKTRYCZNA RAZEM:
</t>
    </r>
    <r>
      <rPr>
        <sz val="14"/>
        <color rgb="FF000000"/>
        <rFont val="Calibri"/>
        <family val="2"/>
        <charset val="238"/>
      </rPr>
      <t xml:space="preserve">(dotyczy wolumenu na 12 m-cy  / dla gr. Taryfowych </t>
    </r>
    <r>
      <rPr>
        <b/>
        <sz val="14"/>
        <color rgb="FF000000"/>
        <rFont val="Calibri"/>
        <family val="2"/>
        <charset val="238"/>
      </rPr>
      <t>Bxx, Cxx, R oraz Gxx</t>
    </r>
    <r>
      <rPr>
        <sz val="14"/>
        <color rgb="FF000000"/>
        <rFont val="Calibri"/>
        <family val="2"/>
        <charset val="238"/>
      </rPr>
      <t>)</t>
    </r>
  </si>
  <si>
    <t xml:space="preserve"> 1 -   cena jednostkowa netto dla odbiorców grup taryfowych G , dla których Wykonwca będzie świadczył usługę kompleksową (zgodnie z obowiązującą Taryfą Energa-Obrót SA na rok 2021)</t>
  </si>
  <si>
    <t>Stawka opłaty mocowej</t>
  </si>
  <si>
    <t xml:space="preserve"> - komórka do edycji (celem wpisania składnika stałego K przez Wykonawcę)</t>
  </si>
  <si>
    <r>
      <t>USŁUGA DYSTRYBUCJI ENERGII ELEKTRYCZNEJ RAZEM</t>
    </r>
    <r>
      <rPr>
        <b/>
        <sz val="14"/>
        <color rgb="FF000000"/>
        <rFont val="Calibri"/>
        <family val="2"/>
        <charset val="238"/>
        <scheme val="minor"/>
      </rPr>
      <t xml:space="preserve"> (suma  pkt. 1 - 17) :</t>
    </r>
  </si>
  <si>
    <t>4) W części II Formularza cenowego dla taryf: C11, C12a, C12b, C12w, C11o, G11, G12, G12w  do obliczenia ceny należy przyjąć okres rozliczeniowy 2 - miesięczny,
     a dla pozostałych taryf, tj.  B21, B23, C21, C22a, C22b, C23 przyjąc okres rozliczeniowy 1-miesięczny.</t>
  </si>
  <si>
    <t xml:space="preserve"> 2 -   na potrzeby wyboru najkorzystniejszej oferty Zamawiający przyjął cenę dla kontraktu BASE_Y-22 na poziomie  0,332  PLN/kWh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</si>
</sst>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z_ł_-;\-* #,##0.00\ _z_ł_-;_-* \-??\ _z_ł_-;_-@_-"/>
    <numFmt numFmtId="166" formatCode="#,##0.0000"/>
    <numFmt numFmtId="167" formatCode="#,##0.00000"/>
    <numFmt numFmtId="168" formatCode="#,##0.00_ ;\-#,##0.00\ "/>
    <numFmt numFmtId="169" formatCode="_-* #,##0.00\ [$PLN]_-;\-* #,##0.00\ [$PLN]_-;_-* &quot;-&quot;??\ [$PLN]_-;_-@_-"/>
    <numFmt numFmtId="170" formatCode="_-* #,##0.00000\ [$PLN]_-;\-* #,##0.00000\ [$PLN]_-;_-* &quot;-&quot;??\ [$PLN]_-;_-@_-"/>
    <numFmt numFmtId="171" formatCode="_-* #,##0.00000\ [$PLN]_-;\-* #,##0.00000\ [$PLN]_-;_-* &quot;-&quot;?????\ [$PLN]_-;_-@_-"/>
    <numFmt numFmtId="172" formatCode="#,##0.0000_ ;\-#,##0.0000\ "/>
    <numFmt numFmtId="173" formatCode="_-* #,##0.000\ [$PLN]_-;\-* #,##0.000\ [$PLN]_-;_-* &quot;-&quot;??\ [$PLN]_-;_-@_-"/>
  </numFmts>
  <fonts count="37" x14ac:knownFonts="1">
    <font>
      <sz val="10"/>
      <name val="Arial"/>
      <family val="2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Verdana"/>
      <family val="2"/>
      <charset val="238"/>
    </font>
    <font>
      <b/>
      <sz val="11"/>
      <color indexed="8"/>
      <name val="Cambria"/>
      <family val="1"/>
      <charset val="238"/>
    </font>
    <font>
      <b/>
      <sz val="12"/>
      <color indexed="8"/>
      <name val="Calibri"/>
      <family val="2"/>
      <charset val="238"/>
    </font>
    <font>
      <b/>
      <sz val="11"/>
      <color indexed="53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ambria"/>
      <family val="1"/>
      <charset val="238"/>
    </font>
    <font>
      <b/>
      <sz val="12"/>
      <color indexed="8"/>
      <name val="Cambria"/>
      <family val="1"/>
      <charset val="238"/>
    </font>
    <font>
      <b/>
      <sz val="14"/>
      <color indexed="53"/>
      <name val="Calibri"/>
      <family val="2"/>
      <charset val="238"/>
    </font>
    <font>
      <sz val="12"/>
      <color indexed="8"/>
      <name val="Times New Roman"/>
      <family val="1"/>
      <charset val="238"/>
    </font>
    <font>
      <vertAlign val="superscript"/>
      <sz val="11"/>
      <color indexed="8"/>
      <name val="Cambria"/>
      <family val="1"/>
      <charset val="238"/>
    </font>
    <font>
      <sz val="10"/>
      <name val="Arial"/>
      <family val="2"/>
      <charset val="238"/>
    </font>
    <font>
      <sz val="11"/>
      <name val="Cambria"/>
      <family val="1"/>
      <charset val="238"/>
    </font>
    <font>
      <b/>
      <sz val="16"/>
      <color indexed="53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b/>
      <sz val="12"/>
      <color rgb="FFFA7D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9"/>
      <name val="Arial"/>
      <family val="2"/>
      <charset val="238"/>
    </font>
    <font>
      <b/>
      <sz val="9"/>
      <color theme="0"/>
      <name val="Cambria"/>
      <family val="1"/>
      <charset val="238"/>
    </font>
    <font>
      <sz val="10"/>
      <color indexed="8"/>
      <name val="Cambria"/>
      <family val="1"/>
      <charset val="238"/>
    </font>
    <font>
      <b/>
      <sz val="12"/>
      <color indexed="53"/>
      <name val="Calibri"/>
      <family val="2"/>
      <charset val="238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22"/>
      <color indexed="8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2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5A5A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rgb="FFECECEC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D3D3D3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double">
        <color indexed="8"/>
      </diagonal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3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/>
      <bottom/>
      <diagonal style="thin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auto="1"/>
      </diagonal>
    </border>
    <border diagonalUp="1" diagonalDown="1">
      <left/>
      <right/>
      <top style="medium">
        <color indexed="64"/>
      </top>
      <bottom/>
      <diagonal style="thin">
        <color auto="1"/>
      </diagonal>
    </border>
    <border diagonalUp="1" diagonalDown="1">
      <left style="medium">
        <color indexed="64"/>
      </left>
      <right/>
      <top/>
      <bottom/>
      <diagonal style="thin">
        <color auto="1"/>
      </diagonal>
    </border>
    <border diagonalUp="1" diagonalDown="1">
      <left/>
      <right style="medium">
        <color indexed="64"/>
      </right>
      <top/>
      <bottom/>
      <diagonal style="thin">
        <color auto="1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auto="1"/>
      </diagonal>
    </border>
    <border diagonalUp="1" diagonalDown="1">
      <left/>
      <right/>
      <top/>
      <bottom style="medium">
        <color indexed="64"/>
      </bottom>
      <diagonal style="thin">
        <color auto="1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auto="1"/>
      </diagonal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3"/>
      </top>
      <bottom/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auto="1"/>
      </left>
      <right style="medium">
        <color indexed="64"/>
      </right>
      <top/>
      <bottom/>
      <diagonal style="thin">
        <color auto="1"/>
      </diagonal>
    </border>
    <border diagonalUp="1" diagonalDown="1">
      <left style="thin">
        <color auto="1"/>
      </left>
      <right style="medium">
        <color indexed="64"/>
      </right>
      <top/>
      <bottom style="medium">
        <color indexed="64"/>
      </bottom>
      <diagonal style="thin">
        <color auto="1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auto="1"/>
      </right>
      <top/>
      <bottom/>
      <diagonal style="thin">
        <color auto="1"/>
      </diagonal>
    </border>
    <border diagonalUp="1" diagonalDown="1">
      <left/>
      <right style="thin">
        <color auto="1"/>
      </right>
      <top/>
      <bottom style="medium">
        <color indexed="64"/>
      </bottom>
      <diagonal style="thin">
        <color auto="1"/>
      </diagonal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auto="1"/>
      </diagonal>
    </border>
    <border>
      <left style="medium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</borders>
  <cellStyleXfs count="7">
    <xf numFmtId="0" fontId="0" fillId="0" borderId="0"/>
    <xf numFmtId="165" fontId="1" fillId="0" borderId="0"/>
    <xf numFmtId="0" fontId="7" fillId="2" borderId="1"/>
    <xf numFmtId="0" fontId="1" fillId="0" borderId="0"/>
    <xf numFmtId="0" fontId="17" fillId="0" borderId="0" applyNumberFormat="0" applyFill="0" applyBorder="0" applyAlignment="0" applyProtection="0"/>
    <xf numFmtId="0" fontId="20" fillId="9" borderId="48" applyNumberFormat="0" applyAlignment="0" applyProtection="0"/>
    <xf numFmtId="44" fontId="26" fillId="0" borderId="0" applyFont="0" applyFill="0" applyBorder="0" applyAlignment="0" applyProtection="0"/>
  </cellStyleXfs>
  <cellXfs count="289">
    <xf numFmtId="0" fontId="0" fillId="0" borderId="0" xfId="0"/>
    <xf numFmtId="0" fontId="1" fillId="0" borderId="0" xfId="3" applyProtection="1"/>
    <xf numFmtId="0" fontId="1" fillId="0" borderId="0" xfId="3" applyAlignment="1" applyProtection="1">
      <alignment horizontal="center" vertical="center"/>
    </xf>
    <xf numFmtId="0" fontId="0" fillId="0" borderId="0" xfId="0" applyProtection="1"/>
    <xf numFmtId="0" fontId="2" fillId="0" borderId="0" xfId="3" applyFont="1" applyAlignment="1" applyProtection="1">
      <alignment vertical="center" wrapText="1"/>
    </xf>
    <xf numFmtId="0" fontId="4" fillId="14" borderId="23" xfId="3" applyFont="1" applyFill="1" applyBorder="1" applyAlignment="1" applyProtection="1">
      <alignment horizontal="center" vertical="center" wrapText="1"/>
    </xf>
    <xf numFmtId="0" fontId="2" fillId="13" borderId="28" xfId="3" applyFont="1" applyFill="1" applyBorder="1" applyAlignment="1" applyProtection="1">
      <alignment horizontal="center" vertical="center" wrapText="1"/>
    </xf>
    <xf numFmtId="0" fontId="6" fillId="12" borderId="28" xfId="3" applyFont="1" applyFill="1" applyBorder="1" applyAlignment="1" applyProtection="1">
      <alignment horizontal="center" vertical="center" wrapText="1"/>
    </xf>
    <xf numFmtId="0" fontId="2" fillId="12" borderId="93" xfId="3" applyFont="1" applyFill="1" applyBorder="1" applyAlignment="1" applyProtection="1">
      <alignment horizontal="center" vertical="center" wrapText="1"/>
    </xf>
    <xf numFmtId="0" fontId="6" fillId="12" borderId="40" xfId="3" applyFont="1" applyFill="1" applyBorder="1" applyAlignment="1" applyProtection="1">
      <alignment horizontal="center" vertical="center" wrapText="1"/>
    </xf>
    <xf numFmtId="0" fontId="2" fillId="12" borderId="28" xfId="3" applyFont="1" applyFill="1" applyBorder="1" applyAlignment="1" applyProtection="1">
      <alignment horizontal="center" vertical="center" wrapText="1"/>
    </xf>
    <xf numFmtId="0" fontId="8" fillId="0" borderId="75" xfId="3" applyFont="1" applyBorder="1" applyAlignment="1" applyProtection="1">
      <alignment horizontal="center" vertical="center"/>
    </xf>
    <xf numFmtId="0" fontId="8" fillId="0" borderId="76" xfId="3" applyFont="1" applyBorder="1" applyAlignment="1" applyProtection="1">
      <alignment horizontal="center" vertical="center"/>
    </xf>
    <xf numFmtId="0" fontId="8" fillId="0" borderId="40" xfId="3" applyFont="1" applyBorder="1" applyAlignment="1" applyProtection="1">
      <alignment horizontal="center" vertical="center"/>
    </xf>
    <xf numFmtId="0" fontId="8" fillId="0" borderId="32" xfId="3" quotePrefix="1" applyFont="1" applyBorder="1" applyAlignment="1" applyProtection="1">
      <alignment horizontal="center" vertical="center"/>
    </xf>
    <xf numFmtId="0" fontId="8" fillId="0" borderId="71" xfId="3" applyFont="1" applyBorder="1" applyAlignment="1" applyProtection="1">
      <alignment horizontal="center" vertical="center"/>
    </xf>
    <xf numFmtId="0" fontId="8" fillId="0" borderId="24" xfId="3" applyFont="1" applyBorder="1" applyAlignment="1" applyProtection="1">
      <alignment horizontal="center" vertical="center"/>
    </xf>
    <xf numFmtId="0" fontId="8" fillId="0" borderId="0" xfId="3" applyFont="1" applyAlignment="1" applyProtection="1">
      <alignment horizontal="center" vertical="center"/>
    </xf>
    <xf numFmtId="0" fontId="27" fillId="0" borderId="24" xfId="5" applyFont="1" applyFill="1" applyBorder="1" applyAlignment="1" applyProtection="1">
      <alignment horizontal="center" vertical="center"/>
    </xf>
    <xf numFmtId="0" fontId="27" fillId="0" borderId="73" xfId="5" applyFont="1" applyFill="1" applyBorder="1" applyAlignment="1" applyProtection="1">
      <alignment horizontal="center" vertical="center"/>
    </xf>
    <xf numFmtId="0" fontId="27" fillId="0" borderId="32" xfId="5" applyFont="1" applyFill="1" applyBorder="1" applyAlignment="1" applyProtection="1">
      <alignment horizontal="center" vertical="center"/>
    </xf>
    <xf numFmtId="0" fontId="27" fillId="0" borderId="0" xfId="5" applyFont="1" applyFill="1" applyBorder="1" applyAlignment="1" applyProtection="1">
      <alignment horizontal="center" vertical="center"/>
    </xf>
    <xf numFmtId="0" fontId="2" fillId="0" borderId="0" xfId="3" applyFont="1" applyAlignment="1" applyProtection="1">
      <alignment horizontal="center" vertical="center"/>
    </xf>
    <xf numFmtId="0" fontId="21" fillId="0" borderId="77" xfId="3" applyFont="1" applyBorder="1" applyAlignment="1" applyProtection="1">
      <alignment horizontal="center" vertical="center"/>
    </xf>
    <xf numFmtId="0" fontId="2" fillId="0" borderId="26" xfId="3" applyFont="1" applyBorder="1" applyAlignment="1" applyProtection="1">
      <alignment horizontal="center" vertical="center"/>
    </xf>
    <xf numFmtId="0" fontId="1" fillId="0" borderId="29" xfId="3" applyBorder="1" applyAlignment="1" applyProtection="1">
      <alignment horizontal="left" vertical="center"/>
    </xf>
    <xf numFmtId="170" fontId="35" fillId="0" borderId="82" xfId="6" applyNumberFormat="1" applyFont="1" applyBorder="1" applyAlignment="1" applyProtection="1">
      <alignment horizontal="center" vertical="center"/>
    </xf>
    <xf numFmtId="169" fontId="35" fillId="0" borderId="26" xfId="6" applyNumberFormat="1" applyFont="1" applyBorder="1" applyAlignment="1" applyProtection="1">
      <alignment horizontal="center" vertical="center"/>
    </xf>
    <xf numFmtId="169" fontId="1" fillId="0" borderId="0" xfId="6" applyNumberFormat="1" applyFont="1" applyAlignment="1" applyProtection="1">
      <alignment horizontal="center" vertical="center"/>
    </xf>
    <xf numFmtId="0" fontId="21" fillId="0" borderId="62" xfId="3" applyFont="1" applyBorder="1" applyAlignment="1" applyProtection="1">
      <alignment horizontal="center" vertical="center"/>
    </xf>
    <xf numFmtId="0" fontId="1" fillId="0" borderId="30" xfId="3" applyBorder="1" applyAlignment="1" applyProtection="1">
      <alignment horizontal="left" vertical="center"/>
    </xf>
    <xf numFmtId="170" fontId="35" fillId="0" borderId="63" xfId="6" applyNumberFormat="1" applyFont="1" applyBorder="1" applyAlignment="1" applyProtection="1">
      <alignment horizontal="center" vertical="center"/>
    </xf>
    <xf numFmtId="169" fontId="35" fillId="0" borderId="27" xfId="6" applyNumberFormat="1" applyFont="1" applyBorder="1" applyAlignment="1" applyProtection="1">
      <alignment horizontal="center" vertical="center"/>
    </xf>
    <xf numFmtId="0" fontId="2" fillId="0" borderId="27" xfId="3" applyFont="1" applyBorder="1" applyAlignment="1" applyProtection="1">
      <alignment horizontal="center" vertical="center"/>
    </xf>
    <xf numFmtId="165" fontId="1" fillId="0" borderId="0" xfId="1" applyProtection="1"/>
    <xf numFmtId="9" fontId="1" fillId="0" borderId="0" xfId="3" applyNumberFormat="1" applyAlignment="1" applyProtection="1">
      <alignment horizontal="center" vertical="center"/>
    </xf>
    <xf numFmtId="0" fontId="2" fillId="0" borderId="28" xfId="3" applyFont="1" applyBorder="1" applyAlignment="1" applyProtection="1">
      <alignment horizontal="center" vertical="center"/>
    </xf>
    <xf numFmtId="0" fontId="1" fillId="0" borderId="31" xfId="3" applyBorder="1" applyAlignment="1" applyProtection="1">
      <alignment horizontal="left" vertical="center"/>
    </xf>
    <xf numFmtId="169" fontId="1" fillId="0" borderId="94" xfId="3" applyNumberFormat="1" applyBorder="1" applyAlignment="1" applyProtection="1">
      <alignment horizontal="center" vertical="center"/>
    </xf>
    <xf numFmtId="164" fontId="1" fillId="0" borderId="0" xfId="3" applyNumberFormat="1" applyAlignment="1" applyProtection="1">
      <alignment vertical="center"/>
    </xf>
    <xf numFmtId="169" fontId="1" fillId="0" borderId="62" xfId="3" applyNumberFormat="1" applyBorder="1" applyAlignment="1" applyProtection="1">
      <alignment horizontal="center" vertical="center"/>
    </xf>
    <xf numFmtId="0" fontId="21" fillId="0" borderId="72" xfId="3" applyFont="1" applyBorder="1" applyAlignment="1" applyProtection="1">
      <alignment horizontal="center" vertical="center"/>
    </xf>
    <xf numFmtId="0" fontId="1" fillId="0" borderId="96" xfId="3" applyBorder="1" applyAlignment="1" applyProtection="1">
      <alignment horizontal="left" vertical="center"/>
    </xf>
    <xf numFmtId="169" fontId="1" fillId="0" borderId="72" xfId="3" applyNumberFormat="1" applyBorder="1" applyAlignment="1" applyProtection="1">
      <alignment horizontal="center" vertical="center"/>
    </xf>
    <xf numFmtId="0" fontId="21" fillId="0" borderId="78" xfId="3" applyFont="1" applyBorder="1" applyAlignment="1" applyProtection="1">
      <alignment horizontal="center" vertical="center"/>
    </xf>
    <xf numFmtId="168" fontId="6" fillId="5" borderId="24" xfId="1" applyNumberFormat="1" applyFont="1" applyFill="1" applyBorder="1" applyAlignment="1" applyProtection="1">
      <alignment vertical="center"/>
    </xf>
    <xf numFmtId="169" fontId="1" fillId="16" borderId="74" xfId="3" applyNumberFormat="1" applyFill="1" applyBorder="1" applyAlignment="1" applyProtection="1">
      <alignment horizontal="center" vertical="center"/>
    </xf>
    <xf numFmtId="169" fontId="1" fillId="15" borderId="40" xfId="3" applyNumberFormat="1" applyFill="1" applyBorder="1" applyAlignment="1" applyProtection="1">
      <alignment horizontal="center" vertical="center"/>
    </xf>
    <xf numFmtId="0" fontId="10" fillId="0" borderId="24" xfId="3" applyFont="1" applyBorder="1" applyAlignment="1" applyProtection="1">
      <alignment horizontal="center" vertical="center"/>
    </xf>
    <xf numFmtId="0" fontId="3" fillId="0" borderId="0" xfId="3" applyFont="1" applyAlignment="1" applyProtection="1">
      <alignment horizontal="center" vertical="center"/>
    </xf>
    <xf numFmtId="0" fontId="6" fillId="0" borderId="0" xfId="3" applyFont="1" applyAlignment="1" applyProtection="1">
      <alignment horizontal="center" vertical="center"/>
    </xf>
    <xf numFmtId="4" fontId="6" fillId="0" borderId="0" xfId="3" applyNumberFormat="1" applyFont="1" applyAlignment="1" applyProtection="1">
      <alignment horizontal="center" vertical="center"/>
    </xf>
    <xf numFmtId="164" fontId="11" fillId="0" borderId="0" xfId="2" applyNumberFormat="1" applyFont="1" applyFill="1" applyBorder="1" applyAlignment="1" applyProtection="1">
      <alignment horizontal="center" vertical="center"/>
    </xf>
    <xf numFmtId="0" fontId="28" fillId="0" borderId="0" xfId="3" applyFont="1" applyAlignment="1" applyProtection="1">
      <alignment horizontal="left" vertical="center"/>
    </xf>
    <xf numFmtId="0" fontId="22" fillId="0" borderId="0" xfId="1" applyNumberFormat="1" applyFont="1" applyAlignment="1" applyProtection="1">
      <alignment vertical="center" wrapText="1"/>
    </xf>
    <xf numFmtId="169" fontId="1" fillId="0" borderId="0" xfId="3" applyNumberFormat="1" applyAlignment="1" applyProtection="1">
      <alignment horizontal="center" vertical="center"/>
    </xf>
    <xf numFmtId="0" fontId="5" fillId="0" borderId="6" xfId="3" applyFont="1" applyBorder="1" applyAlignment="1" applyProtection="1">
      <alignment horizontal="center" vertical="center" wrapText="1"/>
    </xf>
    <xf numFmtId="1" fontId="5" fillId="0" borderId="6" xfId="3" applyNumberFormat="1" applyFont="1" applyBorder="1" applyAlignment="1" applyProtection="1">
      <alignment horizontal="center" vertical="center" wrapText="1"/>
    </xf>
    <xf numFmtId="166" fontId="5" fillId="0" borderId="6" xfId="3" applyNumberFormat="1" applyFont="1" applyBorder="1" applyAlignment="1" applyProtection="1">
      <alignment horizontal="center" vertical="center" wrapText="1"/>
    </xf>
    <xf numFmtId="0" fontId="5" fillId="0" borderId="15" xfId="3" applyFont="1" applyBorder="1" applyAlignment="1" applyProtection="1">
      <alignment horizontal="center" vertical="center" wrapText="1"/>
    </xf>
    <xf numFmtId="4" fontId="5" fillId="0" borderId="14" xfId="3" applyNumberFormat="1" applyFont="1" applyBorder="1" applyAlignment="1" applyProtection="1">
      <alignment horizontal="center" vertical="center" wrapText="1"/>
    </xf>
    <xf numFmtId="0" fontId="5" fillId="0" borderId="7" xfId="3" applyFont="1" applyBorder="1" applyAlignment="1" applyProtection="1">
      <alignment horizontal="center" vertical="center" wrapText="1"/>
    </xf>
    <xf numFmtId="1" fontId="5" fillId="0" borderId="7" xfId="3" applyNumberFormat="1" applyFont="1" applyBorder="1" applyAlignment="1" applyProtection="1">
      <alignment horizontal="center" vertical="center" wrapText="1"/>
    </xf>
    <xf numFmtId="166" fontId="5" fillId="0" borderId="7" xfId="3" applyNumberFormat="1" applyFont="1" applyBorder="1" applyAlignment="1" applyProtection="1">
      <alignment horizontal="center" vertical="center"/>
    </xf>
    <xf numFmtId="0" fontId="5" fillId="0" borderId="17" xfId="3" applyFont="1" applyBorder="1" applyAlignment="1" applyProtection="1">
      <alignment horizontal="center" vertical="center"/>
    </xf>
    <xf numFmtId="4" fontId="5" fillId="0" borderId="70" xfId="3" applyNumberFormat="1" applyFont="1" applyBorder="1" applyAlignment="1" applyProtection="1">
      <alignment horizontal="center" vertical="center"/>
    </xf>
    <xf numFmtId="0" fontId="23" fillId="10" borderId="33" xfId="3" applyFont="1" applyFill="1" applyBorder="1" applyAlignment="1" applyProtection="1">
      <alignment horizontal="center" vertical="center"/>
    </xf>
    <xf numFmtId="0" fontId="23" fillId="10" borderId="20" xfId="3" applyFont="1" applyFill="1" applyBorder="1" applyAlignment="1" applyProtection="1">
      <alignment horizontal="center" vertical="center"/>
    </xf>
    <xf numFmtId="1" fontId="23" fillId="10" borderId="20" xfId="3" applyNumberFormat="1" applyFont="1" applyFill="1" applyBorder="1" applyAlignment="1" applyProtection="1">
      <alignment horizontal="center" vertical="center"/>
    </xf>
    <xf numFmtId="1" fontId="23" fillId="10" borderId="44" xfId="3" applyNumberFormat="1" applyFont="1" applyFill="1" applyBorder="1" applyAlignment="1" applyProtection="1">
      <alignment horizontal="center" vertical="center"/>
    </xf>
    <xf numFmtId="1" fontId="23" fillId="10" borderId="24" xfId="3" applyNumberFormat="1" applyFont="1" applyFill="1" applyBorder="1" applyAlignment="1" applyProtection="1">
      <alignment horizontal="center" vertical="center"/>
    </xf>
    <xf numFmtId="0" fontId="1" fillId="6" borderId="0" xfId="3" applyFill="1" applyProtection="1"/>
    <xf numFmtId="0" fontId="1" fillId="0" borderId="68" xfId="3" applyBorder="1" applyAlignment="1" applyProtection="1">
      <alignment horizontal="center" vertical="center"/>
    </xf>
    <xf numFmtId="0" fontId="1" fillId="0" borderId="69" xfId="3" applyBorder="1" applyAlignment="1" applyProtection="1">
      <alignment vertical="center"/>
    </xf>
    <xf numFmtId="0" fontId="1" fillId="0" borderId="2" xfId="3" applyBorder="1" applyAlignment="1" applyProtection="1">
      <alignment horizontal="center" vertical="center"/>
    </xf>
    <xf numFmtId="3" fontId="9" fillId="0" borderId="4" xfId="3" applyNumberFormat="1" applyFont="1" applyBorder="1" applyAlignment="1" applyProtection="1">
      <alignment horizontal="center" vertical="center"/>
    </xf>
    <xf numFmtId="0" fontId="1" fillId="3" borderId="9" xfId="3" applyFill="1" applyBorder="1" applyAlignment="1" applyProtection="1">
      <alignment horizontal="center" vertical="center"/>
    </xf>
    <xf numFmtId="0" fontId="1" fillId="0" borderId="4" xfId="3" applyBorder="1" applyAlignment="1" applyProtection="1">
      <alignment horizontal="center" vertical="center"/>
    </xf>
    <xf numFmtId="167" fontId="1" fillId="0" borderId="4" xfId="3" applyNumberFormat="1" applyBorder="1" applyAlignment="1" applyProtection="1">
      <alignment horizontal="right" vertical="center"/>
    </xf>
    <xf numFmtId="169" fontId="1" fillId="0" borderId="16" xfId="3" applyNumberFormat="1" applyBorder="1" applyAlignment="1" applyProtection="1">
      <alignment horizontal="right" vertical="center"/>
    </xf>
    <xf numFmtId="169" fontId="1" fillId="0" borderId="18" xfId="3" applyNumberFormat="1" applyBorder="1" applyAlignment="1" applyProtection="1">
      <alignment horizontal="right" vertical="center"/>
    </xf>
    <xf numFmtId="4" fontId="1" fillId="0" borderId="4" xfId="3" applyNumberFormat="1" applyBorder="1" applyAlignment="1" applyProtection="1">
      <alignment horizontal="center" vertical="center"/>
    </xf>
    <xf numFmtId="3" fontId="9" fillId="0" borderId="3" xfId="3" applyNumberFormat="1" applyFont="1" applyBorder="1" applyAlignment="1" applyProtection="1">
      <alignment horizontal="center" vertical="center"/>
    </xf>
    <xf numFmtId="0" fontId="2" fillId="0" borderId="10" xfId="3" applyFont="1" applyBorder="1" applyAlignment="1" applyProtection="1">
      <alignment horizontal="center" vertical="center"/>
    </xf>
    <xf numFmtId="169" fontId="7" fillId="2" borderId="25" xfId="2" applyNumberFormat="1" applyBorder="1" applyAlignment="1" applyProtection="1">
      <alignment horizontal="center" vertical="center"/>
    </xf>
    <xf numFmtId="0" fontId="1" fillId="0" borderId="8" xfId="3" applyBorder="1" applyAlignment="1" applyProtection="1">
      <alignment horizontal="center" vertical="center"/>
    </xf>
    <xf numFmtId="169" fontId="1" fillId="0" borderId="14" xfId="3" applyNumberFormat="1" applyBorder="1" applyAlignment="1" applyProtection="1">
      <alignment vertical="center"/>
    </xf>
    <xf numFmtId="0" fontId="1" fillId="5" borderId="0" xfId="3" applyFill="1" applyProtection="1"/>
    <xf numFmtId="0" fontId="1" fillId="3" borderId="4" xfId="3" applyFill="1" applyBorder="1" applyAlignment="1" applyProtection="1">
      <alignment horizontal="center" vertical="center"/>
    </xf>
    <xf numFmtId="0" fontId="2" fillId="0" borderId="5" xfId="3" applyFont="1" applyBorder="1" applyAlignment="1" applyProtection="1">
      <alignment horizontal="center" vertical="center"/>
    </xf>
    <xf numFmtId="0" fontId="1" fillId="0" borderId="11" xfId="3" applyBorder="1" applyAlignment="1" applyProtection="1">
      <alignment horizontal="center" vertical="center"/>
    </xf>
    <xf numFmtId="0" fontId="1" fillId="0" borderId="12" xfId="3" applyBorder="1" applyAlignment="1" applyProtection="1">
      <alignment horizontal="center" vertical="center"/>
    </xf>
    <xf numFmtId="0" fontId="2" fillId="0" borderId="13" xfId="3" applyFont="1" applyBorder="1" applyAlignment="1" applyProtection="1">
      <alignment horizontal="center" vertical="center"/>
    </xf>
    <xf numFmtId="169" fontId="7" fillId="2" borderId="101" xfId="2" applyNumberFormat="1" applyBorder="1" applyAlignment="1" applyProtection="1">
      <alignment horizontal="center" vertical="center"/>
    </xf>
    <xf numFmtId="0" fontId="10" fillId="0" borderId="40" xfId="3" applyFont="1" applyBorder="1" applyAlignment="1" applyProtection="1">
      <alignment horizontal="center" vertical="center"/>
    </xf>
    <xf numFmtId="169" fontId="18" fillId="4" borderId="24" xfId="6" applyNumberFormat="1" applyFont="1" applyFill="1" applyBorder="1" applyAlignment="1" applyProtection="1">
      <alignment horizontal="center" vertical="center"/>
    </xf>
    <xf numFmtId="0" fontId="10" fillId="0" borderId="32" xfId="3" applyFont="1" applyBorder="1" applyAlignment="1" applyProtection="1">
      <alignment horizontal="center" vertical="center"/>
    </xf>
    <xf numFmtId="169" fontId="25" fillId="2" borderId="40" xfId="2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Protection="1"/>
    <xf numFmtId="0" fontId="15" fillId="0" borderId="0" xfId="3" applyFont="1" applyAlignment="1" applyProtection="1">
      <alignment wrapText="1"/>
    </xf>
    <xf numFmtId="0" fontId="9" fillId="0" borderId="0" xfId="3" applyFont="1" applyAlignment="1" applyProtection="1">
      <alignment horizontal="right" vertical="center"/>
    </xf>
    <xf numFmtId="0" fontId="9" fillId="0" borderId="0" xfId="3" applyFont="1" applyAlignment="1" applyProtection="1">
      <alignment horizontal="center"/>
    </xf>
    <xf numFmtId="1" fontId="9" fillId="0" borderId="0" xfId="3" applyNumberFormat="1" applyFont="1" applyAlignment="1" applyProtection="1">
      <alignment horizontal="center"/>
    </xf>
    <xf numFmtId="166" fontId="9" fillId="0" borderId="0" xfId="3" applyNumberFormat="1" applyFont="1" applyAlignment="1" applyProtection="1">
      <alignment horizontal="center"/>
    </xf>
    <xf numFmtId="4" fontId="9" fillId="0" borderId="0" xfId="3" applyNumberFormat="1" applyFont="1" applyAlignment="1" applyProtection="1">
      <alignment horizontal="center"/>
    </xf>
    <xf numFmtId="0" fontId="9" fillId="0" borderId="0" xfId="3" applyFont="1" applyAlignment="1" applyProtection="1">
      <alignment horizontal="center" vertical="center"/>
    </xf>
    <xf numFmtId="0" fontId="13" fillId="0" borderId="0" xfId="3" applyFont="1" applyAlignment="1" applyProtection="1">
      <alignment horizontal="center" vertical="center"/>
    </xf>
    <xf numFmtId="4" fontId="22" fillId="0" borderId="0" xfId="1" applyNumberFormat="1" applyFont="1" applyAlignment="1" applyProtection="1">
      <alignment vertical="center" wrapText="1"/>
    </xf>
    <xf numFmtId="173" fontId="1" fillId="0" borderId="0" xfId="6" applyNumberFormat="1" applyFont="1" applyAlignment="1" applyProtection="1">
      <alignment horizontal="center" vertical="center"/>
    </xf>
    <xf numFmtId="0" fontId="15" fillId="0" borderId="0" xfId="3" applyFont="1" applyAlignment="1" applyProtection="1">
      <alignment horizontal="left" vertical="center" wrapText="1"/>
    </xf>
    <xf numFmtId="0" fontId="6" fillId="12" borderId="31" xfId="3" applyFont="1" applyFill="1" applyBorder="1" applyAlignment="1" applyProtection="1">
      <alignment horizontal="center" vertical="center" wrapText="1"/>
    </xf>
    <xf numFmtId="0" fontId="8" fillId="0" borderId="43" xfId="3" applyFont="1" applyBorder="1" applyAlignment="1" applyProtection="1">
      <alignment horizontal="center" vertical="center"/>
    </xf>
    <xf numFmtId="0" fontId="27" fillId="0" borderId="79" xfId="5" applyFont="1" applyFill="1" applyBorder="1" applyAlignment="1" applyProtection="1">
      <alignment horizontal="center" vertical="center"/>
    </xf>
    <xf numFmtId="171" fontId="35" fillId="0" borderId="82" xfId="6" applyNumberFormat="1" applyFont="1" applyBorder="1" applyAlignment="1" applyProtection="1">
      <alignment horizontal="center" vertical="center"/>
    </xf>
    <xf numFmtId="171" fontId="35" fillId="0" borderId="63" xfId="6" applyNumberFormat="1" applyFont="1" applyBorder="1" applyAlignment="1" applyProtection="1">
      <alignment horizontal="center" vertical="center"/>
    </xf>
    <xf numFmtId="0" fontId="2" fillId="12" borderId="72" xfId="3" applyFont="1" applyFill="1" applyBorder="1" applyAlignment="1" applyProtection="1">
      <alignment horizontal="center" vertical="center" wrapText="1"/>
    </xf>
    <xf numFmtId="169" fontId="35" fillId="0" borderId="94" xfId="6" applyNumberFormat="1" applyFont="1" applyBorder="1" applyAlignment="1" applyProtection="1">
      <alignment horizontal="center" vertical="center"/>
    </xf>
    <xf numFmtId="169" fontId="35" fillId="0" borderId="62" xfId="6" applyNumberFormat="1" applyFont="1" applyBorder="1" applyAlignment="1" applyProtection="1">
      <alignment horizontal="center" vertical="center"/>
    </xf>
    <xf numFmtId="169" fontId="35" fillId="0" borderId="95" xfId="6" applyNumberFormat="1" applyFont="1" applyBorder="1" applyAlignment="1" applyProtection="1">
      <alignment horizontal="center" vertical="center"/>
    </xf>
    <xf numFmtId="169" fontId="35" fillId="0" borderId="97" xfId="6" applyNumberFormat="1" applyFont="1" applyBorder="1" applyAlignment="1" applyProtection="1">
      <alignment horizontal="center" vertical="center"/>
    </xf>
    <xf numFmtId="169" fontId="6" fillId="12" borderId="24" xfId="3" applyNumberFormat="1" applyFont="1" applyFill="1" applyBorder="1" applyAlignment="1" applyProtection="1">
      <alignment vertical="center"/>
    </xf>
    <xf numFmtId="0" fontId="15" fillId="0" borderId="0" xfId="3" applyFont="1" applyAlignment="1" applyProtection="1"/>
    <xf numFmtId="0" fontId="15" fillId="0" borderId="0" xfId="3" applyFont="1" applyAlignment="1" applyProtection="1">
      <alignment horizontal="left" vertical="center"/>
    </xf>
    <xf numFmtId="0" fontId="12" fillId="0" borderId="0" xfId="3" applyFont="1" applyAlignment="1" applyProtection="1"/>
    <xf numFmtId="171" fontId="1" fillId="0" borderId="26" xfId="3" applyNumberFormat="1" applyFill="1" applyBorder="1" applyAlignment="1" applyProtection="1">
      <alignment horizontal="center" vertical="center"/>
    </xf>
    <xf numFmtId="171" fontId="1" fillId="0" borderId="27" xfId="3" applyNumberFormat="1" applyFill="1" applyBorder="1" applyAlignment="1" applyProtection="1">
      <alignment horizontal="center" vertical="center"/>
    </xf>
    <xf numFmtId="171" fontId="1" fillId="0" borderId="28" xfId="3" applyNumberFormat="1" applyFill="1" applyBorder="1" applyAlignment="1" applyProtection="1">
      <alignment horizontal="center" vertical="center"/>
    </xf>
    <xf numFmtId="0" fontId="1" fillId="0" borderId="67" xfId="3" applyBorder="1" applyAlignment="1" applyProtection="1">
      <alignment horizontal="center" vertical="center"/>
    </xf>
    <xf numFmtId="0" fontId="2" fillId="0" borderId="116" xfId="3" applyFont="1" applyBorder="1" applyAlignment="1" applyProtection="1">
      <alignment horizontal="center" vertical="center"/>
    </xf>
    <xf numFmtId="0" fontId="2" fillId="0" borderId="118" xfId="3" applyFont="1" applyBorder="1" applyAlignment="1" applyProtection="1">
      <alignment horizontal="center" vertical="center"/>
    </xf>
    <xf numFmtId="0" fontId="1" fillId="0" borderId="117" xfId="3" applyBorder="1" applyAlignment="1" applyProtection="1">
      <alignment horizontal="center" vertical="center"/>
    </xf>
    <xf numFmtId="0" fontId="1" fillId="0" borderId="0" xfId="3" applyBorder="1" applyProtection="1"/>
    <xf numFmtId="0" fontId="1" fillId="0" borderId="0" xfId="3" applyAlignment="1" applyProtection="1">
      <alignment vertical="center"/>
    </xf>
    <xf numFmtId="0" fontId="15" fillId="0" borderId="0" xfId="3" applyFont="1" applyBorder="1" applyAlignment="1" applyProtection="1">
      <alignment vertical="center"/>
    </xf>
    <xf numFmtId="0" fontId="15" fillId="0" borderId="0" xfId="3" applyFont="1" applyBorder="1" applyAlignment="1" applyProtection="1">
      <alignment vertical="center" wrapText="1"/>
    </xf>
    <xf numFmtId="0" fontId="15" fillId="0" borderId="0" xfId="3" applyFont="1" applyAlignment="1" applyProtection="1">
      <alignment vertical="center"/>
    </xf>
    <xf numFmtId="0" fontId="15" fillId="0" borderId="0" xfId="3" applyFont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vertical="center"/>
    </xf>
    <xf numFmtId="4" fontId="1" fillId="0" borderId="4" xfId="3" applyNumberFormat="1" applyFill="1" applyBorder="1" applyAlignment="1" applyProtection="1">
      <alignment horizontal="center" vertical="center"/>
    </xf>
    <xf numFmtId="0" fontId="1" fillId="0" borderId="4" xfId="3" applyFill="1" applyBorder="1" applyAlignment="1" applyProtection="1">
      <alignment horizontal="center" vertical="center"/>
    </xf>
    <xf numFmtId="0" fontId="2" fillId="0" borderId="0" xfId="3" quotePrefix="1" applyFont="1" applyAlignment="1" applyProtection="1">
      <alignment horizontal="left" vertical="center"/>
    </xf>
    <xf numFmtId="165" fontId="1" fillId="0" borderId="0" xfId="1"/>
    <xf numFmtId="168" fontId="1" fillId="0" borderId="94" xfId="1" applyNumberFormat="1" applyFill="1" applyBorder="1" applyProtection="1"/>
    <xf numFmtId="168" fontId="1" fillId="0" borderId="62" xfId="1" applyNumberFormat="1" applyFill="1" applyBorder="1" applyProtection="1"/>
    <xf numFmtId="168" fontId="1" fillId="0" borderId="72" xfId="1" applyNumberFormat="1" applyFill="1" applyBorder="1" applyProtection="1"/>
    <xf numFmtId="168" fontId="1" fillId="0" borderId="77" xfId="1" applyNumberFormat="1" applyFill="1" applyBorder="1" applyProtection="1"/>
    <xf numFmtId="168" fontId="1" fillId="0" borderId="97" xfId="1" applyNumberFormat="1" applyFill="1" applyBorder="1" applyProtection="1"/>
    <xf numFmtId="0" fontId="1" fillId="17" borderId="24" xfId="3" applyFill="1" applyBorder="1" applyAlignment="1" applyProtection="1">
      <alignment horizontal="center" vertical="center"/>
    </xf>
    <xf numFmtId="172" fontId="35" fillId="0" borderId="94" xfId="3" applyNumberFormat="1" applyFont="1" applyBorder="1" applyAlignment="1" applyProtection="1">
      <alignment horizontal="center" vertical="center"/>
    </xf>
    <xf numFmtId="172" fontId="35" fillId="0" borderId="62" xfId="3" applyNumberFormat="1" applyFont="1" applyBorder="1" applyAlignment="1" applyProtection="1">
      <alignment horizontal="center" vertical="center"/>
    </xf>
    <xf numFmtId="3" fontId="9" fillId="0" borderId="50" xfId="3" applyNumberFormat="1" applyFont="1" applyBorder="1" applyAlignment="1" applyProtection="1">
      <alignment horizontal="center" vertical="center"/>
    </xf>
    <xf numFmtId="3" fontId="9" fillId="0" borderId="3" xfId="3" applyNumberFormat="1" applyFont="1" applyBorder="1" applyAlignment="1" applyProtection="1">
      <alignment horizontal="center" vertical="center"/>
    </xf>
    <xf numFmtId="3" fontId="24" fillId="0" borderId="50" xfId="3" applyNumberFormat="1" applyFont="1" applyBorder="1" applyAlignment="1" applyProtection="1">
      <alignment horizontal="center" vertical="center"/>
    </xf>
    <xf numFmtId="3" fontId="24" fillId="0" borderId="3" xfId="3" applyNumberFormat="1" applyFont="1" applyBorder="1" applyAlignment="1" applyProtection="1">
      <alignment horizontal="center" vertical="center"/>
    </xf>
    <xf numFmtId="0" fontId="1" fillId="0" borderId="50" xfId="3" applyBorder="1" applyAlignment="1" applyProtection="1">
      <alignment horizontal="center" vertical="center"/>
    </xf>
    <xf numFmtId="0" fontId="1" fillId="0" borderId="3" xfId="3" applyBorder="1" applyAlignment="1" applyProtection="1">
      <alignment horizontal="center" vertical="center"/>
    </xf>
    <xf numFmtId="0" fontId="2" fillId="8" borderId="55" xfId="3" applyFont="1" applyFill="1" applyBorder="1" applyAlignment="1" applyProtection="1">
      <alignment horizontal="center" vertical="center"/>
    </xf>
    <xf numFmtId="0" fontId="2" fillId="8" borderId="38" xfId="3" applyFont="1" applyFill="1" applyBorder="1" applyAlignment="1" applyProtection="1">
      <alignment horizontal="center" vertical="center"/>
    </xf>
    <xf numFmtId="0" fontId="2" fillId="8" borderId="56" xfId="3" applyFont="1" applyFill="1" applyBorder="1" applyAlignment="1" applyProtection="1">
      <alignment horizontal="center" vertical="center"/>
    </xf>
    <xf numFmtId="0" fontId="1" fillId="0" borderId="32" xfId="3" applyBorder="1" applyAlignment="1" applyProtection="1">
      <alignment horizontal="center" vertical="center"/>
    </xf>
    <xf numFmtId="0" fontId="1" fillId="0" borderId="34" xfId="3" applyBorder="1" applyAlignment="1" applyProtection="1">
      <alignment horizontal="center" vertical="center"/>
    </xf>
    <xf numFmtId="0" fontId="1" fillId="0" borderId="54" xfId="3" applyBorder="1" applyAlignment="1" applyProtection="1">
      <alignment horizontal="center" vertical="center"/>
    </xf>
    <xf numFmtId="167" fontId="19" fillId="11" borderId="32" xfId="4" applyNumberFormat="1" applyFont="1" applyFill="1" applyBorder="1" applyAlignment="1" applyProtection="1">
      <alignment horizontal="center" vertical="center" wrapText="1"/>
    </xf>
    <xf numFmtId="167" fontId="19" fillId="11" borderId="34" xfId="4" applyNumberFormat="1" applyFont="1" applyFill="1" applyBorder="1" applyAlignment="1" applyProtection="1">
      <alignment horizontal="center" vertical="center" wrapText="1"/>
    </xf>
    <xf numFmtId="167" fontId="19" fillId="11" borderId="54" xfId="4" applyNumberFormat="1" applyFont="1" applyFill="1" applyBorder="1" applyAlignment="1" applyProtection="1">
      <alignment horizontal="center" vertical="center" wrapText="1"/>
    </xf>
    <xf numFmtId="0" fontId="6" fillId="12" borderId="79" xfId="3" applyFont="1" applyFill="1" applyBorder="1" applyAlignment="1" applyProtection="1">
      <alignment horizontal="center" vertical="center" wrapText="1"/>
    </xf>
    <xf numFmtId="0" fontId="6" fillId="12" borderId="100" xfId="3" applyFont="1" applyFill="1" applyBorder="1" applyAlignment="1" applyProtection="1">
      <alignment horizontal="center" vertical="center" wrapText="1"/>
    </xf>
    <xf numFmtId="0" fontId="6" fillId="12" borderId="73" xfId="3" applyFont="1" applyFill="1" applyBorder="1" applyAlignment="1" applyProtection="1">
      <alignment horizontal="center" vertical="center" wrapText="1"/>
    </xf>
    <xf numFmtId="0" fontId="6" fillId="12" borderId="77" xfId="3" applyFont="1" applyFill="1" applyBorder="1" applyAlignment="1" applyProtection="1">
      <alignment horizontal="center" vertical="center" wrapText="1"/>
    </xf>
    <xf numFmtId="0" fontId="33" fillId="12" borderId="32" xfId="3" applyFont="1" applyFill="1" applyBorder="1" applyAlignment="1" applyProtection="1">
      <alignment horizontal="center" vertical="center" wrapText="1"/>
    </xf>
    <xf numFmtId="0" fontId="33" fillId="12" borderId="34" xfId="3" applyFont="1" applyFill="1" applyBorder="1" applyAlignment="1" applyProtection="1">
      <alignment horizontal="center" vertical="center" wrapText="1"/>
    </xf>
    <xf numFmtId="0" fontId="33" fillId="12" borderId="54" xfId="3" applyFont="1" applyFill="1" applyBorder="1" applyAlignment="1" applyProtection="1">
      <alignment horizontal="center" vertical="center" wrapText="1"/>
    </xf>
    <xf numFmtId="0" fontId="10" fillId="0" borderId="37" xfId="3" applyFont="1" applyBorder="1" applyAlignment="1" applyProtection="1">
      <alignment horizontal="center" vertical="center"/>
    </xf>
    <xf numFmtId="0" fontId="10" fillId="0" borderId="49" xfId="3" applyFont="1" applyBorder="1" applyAlignment="1" applyProtection="1">
      <alignment horizontal="center" vertical="center"/>
    </xf>
    <xf numFmtId="0" fontId="10" fillId="0" borderId="51" xfId="3" applyFont="1" applyBorder="1" applyAlignment="1" applyProtection="1">
      <alignment horizontal="center" vertical="center"/>
    </xf>
    <xf numFmtId="0" fontId="28" fillId="0" borderId="32" xfId="3" applyFont="1" applyFill="1" applyBorder="1" applyAlignment="1" applyProtection="1">
      <alignment horizontal="center" vertical="center"/>
    </xf>
    <xf numFmtId="0" fontId="28" fillId="0" borderId="34" xfId="3" applyFont="1" applyFill="1" applyBorder="1" applyAlignment="1" applyProtection="1">
      <alignment horizontal="center" vertical="center"/>
    </xf>
    <xf numFmtId="0" fontId="28" fillId="0" borderId="54" xfId="3" applyFont="1" applyFill="1" applyBorder="1" applyAlignment="1" applyProtection="1">
      <alignment horizontal="center" vertical="center"/>
    </xf>
    <xf numFmtId="0" fontId="32" fillId="0" borderId="0" xfId="3" applyFont="1" applyAlignment="1" applyProtection="1">
      <alignment horizontal="center" vertical="center"/>
    </xf>
    <xf numFmtId="0" fontId="6" fillId="13" borderId="26" xfId="3" applyFont="1" applyFill="1" applyBorder="1" applyAlignment="1" applyProtection="1">
      <alignment horizontal="center" vertical="center" wrapText="1"/>
    </xf>
    <xf numFmtId="0" fontId="6" fillId="13" borderId="27" xfId="3" applyFont="1" applyFill="1" applyBorder="1" applyAlignment="1" applyProtection="1">
      <alignment horizontal="center" vertical="center" wrapText="1"/>
    </xf>
    <xf numFmtId="0" fontId="6" fillId="13" borderId="28" xfId="3" applyFont="1" applyFill="1" applyBorder="1" applyAlignment="1" applyProtection="1">
      <alignment horizontal="center" vertical="center" wrapText="1"/>
    </xf>
    <xf numFmtId="0" fontId="6" fillId="5" borderId="26" xfId="3" applyFont="1" applyFill="1" applyBorder="1" applyAlignment="1" applyProtection="1">
      <alignment horizontal="right" vertical="center" wrapText="1"/>
    </xf>
    <xf numFmtId="0" fontId="6" fillId="5" borderId="29" xfId="3" applyFont="1" applyFill="1" applyBorder="1" applyAlignment="1" applyProtection="1">
      <alignment horizontal="right" vertical="center"/>
    </xf>
    <xf numFmtId="0" fontId="3" fillId="5" borderId="32" xfId="3" applyFont="1" applyFill="1" applyBorder="1" applyAlignment="1" applyProtection="1">
      <alignment horizontal="right" vertical="center" wrapText="1" indent="1"/>
    </xf>
    <xf numFmtId="0" fontId="3" fillId="5" borderId="34" xfId="3" applyFont="1" applyFill="1" applyBorder="1" applyAlignment="1" applyProtection="1">
      <alignment horizontal="right" vertical="center" wrapText="1" indent="1"/>
    </xf>
    <xf numFmtId="0" fontId="3" fillId="5" borderId="54" xfId="3" applyFont="1" applyFill="1" applyBorder="1" applyAlignment="1" applyProtection="1">
      <alignment horizontal="right" vertical="center" wrapText="1" indent="1"/>
    </xf>
    <xf numFmtId="0" fontId="6" fillId="13" borderId="83" xfId="3" applyFont="1" applyFill="1" applyBorder="1" applyAlignment="1" applyProtection="1">
      <alignment horizontal="center" vertical="center" wrapText="1"/>
    </xf>
    <xf numFmtId="0" fontId="6" fillId="13" borderId="98" xfId="3" applyFont="1" applyFill="1" applyBorder="1" applyAlignment="1" applyProtection="1">
      <alignment horizontal="center" vertical="center" wrapText="1"/>
    </xf>
    <xf numFmtId="0" fontId="6" fillId="13" borderId="81" xfId="3" applyFont="1" applyFill="1" applyBorder="1" applyAlignment="1" applyProtection="1">
      <alignment horizontal="center" vertical="center" wrapText="1"/>
    </xf>
    <xf numFmtId="0" fontId="6" fillId="13" borderId="99" xfId="3" applyFont="1" applyFill="1" applyBorder="1" applyAlignment="1" applyProtection="1">
      <alignment horizontal="center" vertical="center" wrapText="1"/>
    </xf>
    <xf numFmtId="164" fontId="1" fillId="0" borderId="102" xfId="3" applyNumberFormat="1" applyBorder="1" applyAlignment="1" applyProtection="1">
      <alignment horizontal="center" vertical="center"/>
    </xf>
    <xf numFmtId="164" fontId="1" fillId="0" borderId="103" xfId="3" applyNumberFormat="1" applyBorder="1" applyAlignment="1" applyProtection="1">
      <alignment horizontal="center" vertical="center"/>
    </xf>
    <xf numFmtId="164" fontId="1" fillId="0" borderId="104" xfId="3" applyNumberFormat="1" applyBorder="1" applyAlignment="1" applyProtection="1">
      <alignment horizontal="center" vertical="center"/>
    </xf>
    <xf numFmtId="0" fontId="6" fillId="12" borderId="83" xfId="3" applyFont="1" applyFill="1" applyBorder="1" applyAlignment="1" applyProtection="1">
      <alignment horizontal="center" vertical="center" wrapText="1"/>
    </xf>
    <xf numFmtId="0" fontId="6" fillId="12" borderId="98" xfId="3" applyFont="1" applyFill="1" applyBorder="1" applyAlignment="1" applyProtection="1">
      <alignment horizontal="center" vertical="center" wrapText="1"/>
    </xf>
    <xf numFmtId="0" fontId="8" fillId="13" borderId="32" xfId="3" applyFont="1" applyFill="1" applyBorder="1" applyAlignment="1" applyProtection="1">
      <alignment horizontal="center" vertical="center" wrapText="1"/>
    </xf>
    <xf numFmtId="0" fontId="8" fillId="13" borderId="34" xfId="3" applyFont="1" applyFill="1" applyBorder="1" applyAlignment="1" applyProtection="1">
      <alignment horizontal="center" vertical="center" wrapText="1"/>
    </xf>
    <xf numFmtId="171" fontId="19" fillId="0" borderId="80" xfId="6" applyNumberFormat="1" applyFont="1" applyBorder="1" applyAlignment="1" applyProtection="1">
      <alignment vertical="center" wrapText="1"/>
    </xf>
    <xf numFmtId="171" fontId="19" fillId="0" borderId="92" xfId="6" applyNumberFormat="1" applyFont="1" applyBorder="1" applyAlignment="1" applyProtection="1">
      <alignment vertical="center" wrapText="1"/>
    </xf>
    <xf numFmtId="169" fontId="1" fillId="0" borderId="32" xfId="3" applyNumberFormat="1" applyBorder="1" applyAlignment="1" applyProtection="1">
      <alignment horizontal="center" vertical="center"/>
    </xf>
    <xf numFmtId="169" fontId="1" fillId="0" borderId="34" xfId="3" applyNumberFormat="1" applyBorder="1" applyAlignment="1" applyProtection="1">
      <alignment horizontal="center" vertical="center"/>
    </xf>
    <xf numFmtId="0" fontId="28" fillId="0" borderId="32" xfId="3" applyFont="1" applyBorder="1" applyAlignment="1" applyProtection="1">
      <alignment horizontal="center" vertical="center"/>
    </xf>
    <xf numFmtId="0" fontId="28" fillId="0" borderId="34" xfId="3" applyFont="1" applyBorder="1" applyAlignment="1" applyProtection="1">
      <alignment horizontal="center" vertical="center"/>
    </xf>
    <xf numFmtId="0" fontId="28" fillId="0" borderId="54" xfId="3" applyFont="1" applyBorder="1" applyAlignment="1" applyProtection="1">
      <alignment horizontal="center" vertical="center"/>
    </xf>
    <xf numFmtId="0" fontId="2" fillId="12" borderId="94" xfId="3" applyFont="1" applyFill="1" applyBorder="1" applyAlignment="1" applyProtection="1">
      <alignment horizontal="center" vertical="center" wrapText="1"/>
    </xf>
    <xf numFmtId="0" fontId="2" fillId="12" borderId="62" xfId="3" applyFont="1" applyFill="1" applyBorder="1" applyAlignment="1" applyProtection="1">
      <alignment horizontal="center" vertical="center" wrapText="1"/>
    </xf>
    <xf numFmtId="171" fontId="19" fillId="0" borderId="79" xfId="6" applyNumberFormat="1" applyFont="1" applyBorder="1" applyAlignment="1" applyProtection="1">
      <alignment vertical="center" wrapText="1"/>
    </xf>
    <xf numFmtId="171" fontId="19" fillId="0" borderId="78" xfId="6" applyNumberFormat="1" applyFont="1" applyBorder="1" applyAlignment="1" applyProtection="1">
      <alignment vertical="center" wrapText="1"/>
    </xf>
    <xf numFmtId="171" fontId="35" fillId="0" borderId="63" xfId="6" applyNumberFormat="1" applyFont="1" applyBorder="1" applyAlignment="1" applyProtection="1">
      <alignment horizontal="center" vertical="center"/>
    </xf>
    <xf numFmtId="171" fontId="35" fillId="0" borderId="114" xfId="6" applyNumberFormat="1" applyFont="1" applyBorder="1" applyAlignment="1" applyProtection="1">
      <alignment horizontal="center" vertical="center"/>
    </xf>
    <xf numFmtId="171" fontId="19" fillId="0" borderId="73" xfId="6" applyNumberFormat="1" applyFont="1" applyBorder="1" applyAlignment="1" applyProtection="1">
      <alignment horizontal="center" vertical="center" wrapText="1"/>
    </xf>
    <xf numFmtId="171" fontId="19" fillId="0" borderId="74" xfId="6" applyNumberFormat="1" applyFont="1" applyBorder="1" applyAlignment="1" applyProtection="1">
      <alignment horizontal="center" vertical="center" wrapText="1"/>
    </xf>
    <xf numFmtId="0" fontId="6" fillId="12" borderId="74" xfId="3" applyFont="1" applyFill="1" applyBorder="1" applyAlignment="1" applyProtection="1">
      <alignment horizontal="center" vertical="center" wrapText="1"/>
    </xf>
    <xf numFmtId="0" fontId="6" fillId="12" borderId="40" xfId="3" applyFont="1" applyFill="1" applyBorder="1" applyAlignment="1" applyProtection="1">
      <alignment horizontal="center" vertical="center" wrapText="1"/>
    </xf>
    <xf numFmtId="0" fontId="2" fillId="12" borderId="79" xfId="3" applyFont="1" applyFill="1" applyBorder="1" applyAlignment="1" applyProtection="1">
      <alignment horizontal="center" vertical="center" wrapText="1"/>
    </xf>
    <xf numFmtId="0" fontId="2" fillId="12" borderId="100" xfId="3" applyFont="1" applyFill="1" applyBorder="1" applyAlignment="1" applyProtection="1">
      <alignment horizontal="center" vertical="center" wrapText="1"/>
    </xf>
    <xf numFmtId="0" fontId="2" fillId="0" borderId="92" xfId="3" applyFont="1" applyBorder="1" applyAlignment="1" applyProtection="1">
      <alignment horizontal="center" vertical="center"/>
    </xf>
    <xf numFmtId="171" fontId="19" fillId="17" borderId="73" xfId="6" applyNumberFormat="1" applyFont="1" applyFill="1" applyBorder="1" applyAlignment="1" applyProtection="1">
      <alignment vertical="center" wrapText="1"/>
      <protection locked="0"/>
    </xf>
    <xf numFmtId="171" fontId="19" fillId="17" borderId="74" xfId="6" applyNumberFormat="1" applyFont="1" applyFill="1" applyBorder="1" applyAlignment="1" applyProtection="1">
      <alignment vertical="center" wrapText="1"/>
      <protection locked="0"/>
    </xf>
    <xf numFmtId="171" fontId="19" fillId="17" borderId="40" xfId="6" applyNumberFormat="1" applyFont="1" applyFill="1" applyBorder="1" applyAlignment="1" applyProtection="1">
      <alignment vertical="center" wrapText="1"/>
      <protection locked="0"/>
    </xf>
    <xf numFmtId="164" fontId="1" fillId="0" borderId="105" xfId="3" applyNumberFormat="1" applyBorder="1" applyAlignment="1" applyProtection="1">
      <alignment horizontal="center" vertical="center"/>
    </xf>
    <xf numFmtId="164" fontId="1" fillId="0" borderId="106" xfId="3" applyNumberFormat="1" applyBorder="1" applyAlignment="1" applyProtection="1">
      <alignment horizontal="center" vertical="center"/>
    </xf>
    <xf numFmtId="164" fontId="1" fillId="0" borderId="107" xfId="3" applyNumberFormat="1" applyBorder="1" applyAlignment="1" applyProtection="1">
      <alignment horizontal="center" vertical="center"/>
    </xf>
    <xf numFmtId="0" fontId="2" fillId="0" borderId="27" xfId="3" applyFont="1" applyBorder="1" applyAlignment="1" applyProtection="1">
      <alignment horizontal="center" vertical="center"/>
    </xf>
    <xf numFmtId="0" fontId="2" fillId="0" borderId="95" xfId="3" applyFont="1" applyBorder="1" applyAlignment="1" applyProtection="1">
      <alignment horizontal="center" vertical="center"/>
    </xf>
    <xf numFmtId="172" fontId="35" fillId="0" borderId="97" xfId="3" applyNumberFormat="1" applyFont="1" applyBorder="1" applyAlignment="1" applyProtection="1">
      <alignment horizontal="center" vertical="center"/>
    </xf>
    <xf numFmtId="172" fontId="35" fillId="0" borderId="74" xfId="3" applyNumberFormat="1" applyFont="1" applyBorder="1" applyAlignment="1" applyProtection="1">
      <alignment horizontal="center" vertical="center"/>
    </xf>
    <xf numFmtId="164" fontId="1" fillId="0" borderId="85" xfId="3" applyNumberFormat="1" applyBorder="1" applyAlignment="1" applyProtection="1">
      <alignment horizontal="center" vertical="center"/>
    </xf>
    <xf numFmtId="164" fontId="1" fillId="0" borderId="87" xfId="3" applyNumberFormat="1" applyBorder="1" applyAlignment="1" applyProtection="1">
      <alignment horizontal="center" vertical="center"/>
    </xf>
    <xf numFmtId="164" fontId="1" fillId="0" borderId="89" xfId="3" applyNumberFormat="1" applyBorder="1" applyAlignment="1" applyProtection="1">
      <alignment horizontal="center" vertical="center"/>
    </xf>
    <xf numFmtId="171" fontId="35" fillId="0" borderId="78" xfId="6" applyNumberFormat="1" applyFont="1" applyBorder="1" applyAlignment="1" applyProtection="1">
      <alignment horizontal="center" vertical="center"/>
    </xf>
    <xf numFmtId="164" fontId="1" fillId="0" borderId="86" xfId="3" applyNumberFormat="1" applyBorder="1" applyAlignment="1" applyProtection="1">
      <alignment horizontal="center" vertical="center"/>
    </xf>
    <xf numFmtId="164" fontId="1" fillId="0" borderId="115" xfId="3" applyNumberFormat="1" applyBorder="1" applyAlignment="1" applyProtection="1">
      <alignment horizontal="center" vertical="center"/>
    </xf>
    <xf numFmtId="164" fontId="1" fillId="0" borderId="84" xfId="3" applyNumberFormat="1" applyBorder="1" applyAlignment="1" applyProtection="1">
      <alignment horizontal="center" vertical="center"/>
    </xf>
    <xf numFmtId="164" fontId="1" fillId="0" borderId="88" xfId="3" applyNumberFormat="1" applyBorder="1" applyAlignment="1" applyProtection="1">
      <alignment horizontal="center" vertical="center"/>
    </xf>
    <xf numFmtId="164" fontId="1" fillId="0" borderId="90" xfId="3" applyNumberFormat="1" applyBorder="1" applyAlignment="1" applyProtection="1">
      <alignment horizontal="center" vertical="center"/>
    </xf>
    <xf numFmtId="164" fontId="1" fillId="0" borderId="91" xfId="3" applyNumberFormat="1" applyBorder="1" applyAlignment="1" applyProtection="1">
      <alignment horizontal="center" vertical="center"/>
    </xf>
    <xf numFmtId="0" fontId="2" fillId="8" borderId="58" xfId="3" applyFont="1" applyFill="1" applyBorder="1" applyAlignment="1" applyProtection="1">
      <alignment horizontal="center" vertical="center"/>
    </xf>
    <xf numFmtId="0" fontId="2" fillId="8" borderId="36" xfId="3" applyFont="1" applyFill="1" applyBorder="1" applyAlignment="1" applyProtection="1">
      <alignment horizontal="center" vertical="center"/>
    </xf>
    <xf numFmtId="0" fontId="2" fillId="8" borderId="59" xfId="3" applyFont="1" applyFill="1" applyBorder="1" applyAlignment="1" applyProtection="1">
      <alignment horizontal="center" vertical="center"/>
    </xf>
    <xf numFmtId="0" fontId="16" fillId="2" borderId="32" xfId="2" applyFont="1" applyBorder="1" applyAlignment="1" applyProtection="1">
      <alignment horizontal="center" vertical="center"/>
    </xf>
    <xf numFmtId="0" fontId="16" fillId="2" borderId="34" xfId="2" applyFont="1" applyBorder="1" applyAlignment="1" applyProtection="1">
      <alignment horizontal="center" vertical="center"/>
    </xf>
    <xf numFmtId="0" fontId="16" fillId="2" borderId="54" xfId="2" applyFont="1" applyBorder="1" applyAlignment="1" applyProtection="1">
      <alignment horizontal="center" vertical="center"/>
    </xf>
    <xf numFmtId="0" fontId="10" fillId="0" borderId="39" xfId="3" applyFont="1" applyBorder="1" applyAlignment="1" applyProtection="1">
      <alignment horizontal="center" vertical="center"/>
    </xf>
    <xf numFmtId="0" fontId="10" fillId="0" borderId="35" xfId="3" applyFont="1" applyBorder="1" applyAlignment="1" applyProtection="1">
      <alignment horizontal="center" vertical="center"/>
    </xf>
    <xf numFmtId="0" fontId="10" fillId="0" borderId="57" xfId="3" applyFont="1" applyBorder="1" applyAlignment="1" applyProtection="1">
      <alignment horizontal="center" vertical="center"/>
    </xf>
    <xf numFmtId="0" fontId="2" fillId="8" borderId="108" xfId="3" applyFont="1" applyFill="1" applyBorder="1" applyAlignment="1" applyProtection="1">
      <alignment horizontal="center" vertical="center"/>
    </xf>
    <xf numFmtId="0" fontId="2" fillId="8" borderId="109" xfId="3" applyFont="1" applyFill="1" applyBorder="1" applyAlignment="1" applyProtection="1">
      <alignment horizontal="center" vertical="center"/>
    </xf>
    <xf numFmtId="0" fontId="2" fillId="8" borderId="110" xfId="3" applyFont="1" applyFill="1" applyBorder="1" applyAlignment="1" applyProtection="1">
      <alignment horizontal="center" vertical="center"/>
    </xf>
    <xf numFmtId="0" fontId="29" fillId="0" borderId="32" xfId="3" applyFont="1" applyBorder="1" applyAlignment="1" applyProtection="1">
      <alignment horizontal="center" vertical="center"/>
    </xf>
    <xf numFmtId="0" fontId="29" fillId="0" borderId="34" xfId="3" applyFont="1" applyBorder="1" applyAlignment="1" applyProtection="1">
      <alignment horizontal="center" vertical="center"/>
    </xf>
    <xf numFmtId="0" fontId="29" fillId="0" borderId="54" xfId="3" applyFont="1" applyBorder="1" applyAlignment="1" applyProtection="1">
      <alignment horizontal="center" vertical="center"/>
    </xf>
    <xf numFmtId="0" fontId="6" fillId="12" borderId="80" xfId="3" applyFont="1" applyFill="1" applyBorder="1" applyAlignment="1" applyProtection="1">
      <alignment horizontal="center" vertical="center" wrapText="1"/>
    </xf>
    <xf numFmtId="0" fontId="6" fillId="12" borderId="92" xfId="3" applyFont="1" applyFill="1" applyBorder="1" applyAlignment="1" applyProtection="1">
      <alignment horizontal="center" vertical="center" wrapText="1"/>
    </xf>
    <xf numFmtId="0" fontId="6" fillId="12" borderId="61" xfId="3" applyFont="1" applyFill="1" applyBorder="1" applyAlignment="1" applyProtection="1">
      <alignment horizontal="center" vertical="center" wrapText="1"/>
    </xf>
    <xf numFmtId="0" fontId="9" fillId="0" borderId="45" xfId="3" applyFont="1" applyBorder="1" applyAlignment="1" applyProtection="1">
      <alignment horizontal="center" vertical="center"/>
    </xf>
    <xf numFmtId="0" fontId="9" fillId="0" borderId="47" xfId="3" applyFont="1" applyBorder="1" applyAlignment="1" applyProtection="1">
      <alignment horizontal="center" vertical="center"/>
    </xf>
    <xf numFmtId="0" fontId="5" fillId="0" borderId="46" xfId="3" applyFont="1" applyBorder="1" applyAlignment="1" applyProtection="1">
      <alignment horizontal="center" vertical="center"/>
    </xf>
    <xf numFmtId="0" fontId="5" fillId="0" borderId="53" xfId="3" applyFont="1" applyBorder="1" applyAlignment="1" applyProtection="1">
      <alignment horizontal="center" vertical="center"/>
    </xf>
    <xf numFmtId="0" fontId="5" fillId="0" borderId="60" xfId="3" applyFont="1" applyBorder="1" applyAlignment="1" applyProtection="1">
      <alignment horizontal="center" vertical="center"/>
    </xf>
    <xf numFmtId="0" fontId="5" fillId="0" borderId="71" xfId="3" applyFont="1" applyBorder="1" applyAlignment="1" applyProtection="1">
      <alignment horizontal="center" vertical="center"/>
    </xf>
    <xf numFmtId="0" fontId="5" fillId="0" borderId="52" xfId="3" applyFont="1" applyBorder="1" applyAlignment="1" applyProtection="1">
      <alignment horizontal="center" vertical="center" wrapText="1"/>
    </xf>
    <xf numFmtId="0" fontId="5" fillId="0" borderId="21" xfId="3" applyFont="1" applyBorder="1" applyAlignment="1" applyProtection="1">
      <alignment horizontal="center" vertical="center" wrapText="1"/>
    </xf>
    <xf numFmtId="0" fontId="23" fillId="10" borderId="44" xfId="3" applyFont="1" applyFill="1" applyBorder="1" applyAlignment="1" applyProtection="1">
      <alignment horizontal="center" vertical="center"/>
    </xf>
    <xf numFmtId="0" fontId="23" fillId="10" borderId="19" xfId="3" applyFont="1" applyFill="1" applyBorder="1" applyAlignment="1" applyProtection="1">
      <alignment horizontal="center" vertical="center"/>
    </xf>
    <xf numFmtId="0" fontId="14" fillId="7" borderId="78" xfId="1" applyNumberFormat="1" applyFont="1" applyFill="1" applyBorder="1" applyAlignment="1" applyProtection="1">
      <alignment horizontal="left" vertical="center" wrapText="1"/>
    </xf>
    <xf numFmtId="0" fontId="14" fillId="7" borderId="0" xfId="1" applyNumberFormat="1" applyFont="1" applyFill="1" applyAlignment="1" applyProtection="1">
      <alignment horizontal="left" vertical="center" wrapText="1"/>
    </xf>
    <xf numFmtId="0" fontId="14" fillId="7" borderId="92" xfId="1" applyNumberFormat="1" applyFont="1" applyFill="1" applyBorder="1" applyAlignment="1" applyProtection="1">
      <alignment horizontal="left" vertical="center" wrapText="1"/>
    </xf>
    <xf numFmtId="0" fontId="14" fillId="7" borderId="43" xfId="1" applyNumberFormat="1" applyFont="1" applyFill="1" applyBorder="1" applyAlignment="1" applyProtection="1">
      <alignment horizontal="left" vertical="center" wrapText="1"/>
    </xf>
    <xf numFmtId="0" fontId="14" fillId="7" borderId="42" xfId="1" applyNumberFormat="1" applyFont="1" applyFill="1" applyBorder="1" applyAlignment="1" applyProtection="1">
      <alignment horizontal="left" vertical="center" wrapText="1"/>
    </xf>
    <xf numFmtId="0" fontId="14" fillId="7" borderId="61" xfId="1" applyNumberFormat="1" applyFont="1" applyFill="1" applyBorder="1" applyAlignment="1" applyProtection="1">
      <alignment horizontal="left" vertical="center" wrapText="1"/>
    </xf>
    <xf numFmtId="0" fontId="6" fillId="0" borderId="64" xfId="3" applyFont="1" applyBorder="1" applyAlignment="1" applyProtection="1">
      <alignment horizontal="center" vertical="center"/>
    </xf>
    <xf numFmtId="0" fontId="6" fillId="0" borderId="67" xfId="3" applyFont="1" applyBorder="1" applyAlignment="1" applyProtection="1">
      <alignment horizontal="center" vertical="center"/>
    </xf>
    <xf numFmtId="0" fontId="6" fillId="0" borderId="65" xfId="3" applyFont="1" applyBorder="1" applyAlignment="1" applyProtection="1">
      <alignment horizontal="center" vertical="center"/>
    </xf>
    <xf numFmtId="0" fontId="6" fillId="0" borderId="47" xfId="3" applyFont="1" applyBorder="1" applyAlignment="1" applyProtection="1">
      <alignment horizontal="center" vertical="center"/>
    </xf>
    <xf numFmtId="0" fontId="6" fillId="0" borderId="66" xfId="3" applyFont="1" applyBorder="1" applyAlignment="1" applyProtection="1">
      <alignment horizontal="center" vertical="center"/>
    </xf>
    <xf numFmtId="0" fontId="6" fillId="0" borderId="22" xfId="3" applyFont="1" applyBorder="1" applyAlignment="1" applyProtection="1">
      <alignment horizontal="center" vertical="center"/>
    </xf>
    <xf numFmtId="0" fontId="6" fillId="0" borderId="111" xfId="3" applyFont="1" applyBorder="1" applyAlignment="1" applyProtection="1">
      <alignment horizontal="center" vertical="center" wrapText="1"/>
    </xf>
    <xf numFmtId="0" fontId="6" fillId="0" borderId="112" xfId="3" applyFont="1" applyBorder="1" applyAlignment="1" applyProtection="1">
      <alignment horizontal="center" vertical="center" wrapText="1"/>
    </xf>
    <xf numFmtId="0" fontId="6" fillId="0" borderId="113" xfId="3" applyFont="1" applyBorder="1" applyAlignment="1" applyProtection="1">
      <alignment horizontal="center" vertical="center" wrapText="1"/>
    </xf>
    <xf numFmtId="0" fontId="3" fillId="5" borderId="34" xfId="3" applyFont="1" applyFill="1" applyBorder="1" applyAlignment="1" applyProtection="1">
      <alignment horizontal="right" vertical="center" indent="1"/>
    </xf>
    <xf numFmtId="0" fontId="3" fillId="5" borderId="54" xfId="3" applyFont="1" applyFill="1" applyBorder="1" applyAlignment="1" applyProtection="1">
      <alignment horizontal="right" vertical="center" indent="1"/>
    </xf>
    <xf numFmtId="0" fontId="14" fillId="7" borderId="79" xfId="1" applyNumberFormat="1" applyFont="1" applyFill="1" applyBorder="1" applyAlignment="1" applyProtection="1">
      <alignment horizontal="left" vertical="center" wrapText="1"/>
    </xf>
    <xf numFmtId="0" fontId="14" fillId="7" borderId="41" xfId="1" applyNumberFormat="1" applyFont="1" applyFill="1" applyBorder="1" applyAlignment="1" applyProtection="1">
      <alignment horizontal="left" vertical="center" wrapText="1"/>
    </xf>
    <xf numFmtId="0" fontId="14" fillId="7" borderId="80" xfId="1" applyNumberFormat="1" applyFont="1" applyFill="1" applyBorder="1" applyAlignment="1" applyProtection="1">
      <alignment horizontal="left" vertical="center" wrapText="1"/>
    </xf>
    <xf numFmtId="169" fontId="1" fillId="0" borderId="0" xfId="3" applyNumberFormat="1" applyProtection="1"/>
  </cellXfs>
  <cellStyles count="7">
    <cellStyle name="Dziesiętny" xfId="1" builtinId="3"/>
    <cellStyle name="Excel Built-in Calculation" xfId="2" xr:uid="{00000000-0005-0000-0000-000001000000}"/>
    <cellStyle name="Excel Built-in Normal" xfId="3" xr:uid="{00000000-0005-0000-0000-000002000000}"/>
    <cellStyle name="Komórka zaznaczona" xfId="5" builtinId="23"/>
    <cellStyle name="Normalny" xfId="0" builtinId="0"/>
    <cellStyle name="Tekst objaśnienia" xfId="4" builtinId="53"/>
    <cellStyle name="Walutowy" xfId="6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7F7F7F"/>
      <rgbColor rgb="009999FF"/>
      <rgbColor rgb="00993366"/>
      <rgbColor rgb="00F2F2F2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A7D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CECEC"/>
      <color rgb="FFD3D3D3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252"/>
  <sheetViews>
    <sheetView tabSelected="1" zoomScale="70" zoomScaleNormal="70" workbookViewId="0">
      <selection activeCell="C5" sqref="C5:C10"/>
    </sheetView>
  </sheetViews>
  <sheetFormatPr defaultColWidth="9.33203125" defaultRowHeight="14.4" x14ac:dyDescent="0.3"/>
  <cols>
    <col min="1" max="1" width="4.109375" style="1" customWidth="1"/>
    <col min="2" max="2" width="5.6640625" style="2" customWidth="1"/>
    <col min="3" max="3" width="13.33203125" style="2" customWidth="1"/>
    <col min="4" max="4" width="36.109375" style="2" customWidth="1"/>
    <col min="5" max="5" width="20.5546875" style="1" customWidth="1"/>
    <col min="6" max="6" width="19.6640625" style="2" customWidth="1"/>
    <col min="7" max="7" width="22.109375" style="1" customWidth="1"/>
    <col min="8" max="8" width="27.5546875" style="1" customWidth="1"/>
    <col min="9" max="9" width="22.6640625" style="1" customWidth="1"/>
    <col min="10" max="10" width="22.44140625" style="1" customWidth="1"/>
    <col min="11" max="12" width="23.88671875" style="1" customWidth="1"/>
    <col min="13" max="13" width="22.44140625" style="1" customWidth="1"/>
    <col min="14" max="14" width="19.33203125" style="1" customWidth="1"/>
    <col min="15" max="15" width="18.6640625" style="1" customWidth="1"/>
    <col min="16" max="16" width="21.109375" style="1" customWidth="1"/>
    <col min="17" max="17" width="20.5546875" style="1" customWidth="1"/>
    <col min="18" max="20" width="23.44140625" style="1" customWidth="1"/>
    <col min="21" max="22" width="18.6640625" style="1" customWidth="1"/>
    <col min="23" max="23" width="20.44140625" style="1" customWidth="1"/>
    <col min="24" max="24" width="24.5546875" style="1" bestFit="1" customWidth="1"/>
    <col min="25" max="25" width="28.5546875" style="1" bestFit="1" customWidth="1"/>
    <col min="26" max="26" width="22.6640625" style="1" bestFit="1" customWidth="1"/>
    <col min="27" max="27" width="7.6640625" style="1" bestFit="1" customWidth="1"/>
    <col min="28" max="28" width="21.6640625" style="1" customWidth="1"/>
    <col min="29" max="29" width="20.33203125" style="1" bestFit="1" customWidth="1"/>
    <col min="30" max="30" width="18.6640625" style="1" bestFit="1" customWidth="1"/>
    <col min="31" max="31" width="9.33203125" style="1"/>
    <col min="32" max="32" width="18.6640625" style="1" bestFit="1" customWidth="1"/>
    <col min="33" max="16384" width="9.33203125" style="1"/>
  </cols>
  <sheetData>
    <row r="1" spans="1:25" ht="7.5" customHeight="1" thickBot="1" x14ac:dyDescent="0.35">
      <c r="N1" s="3"/>
    </row>
    <row r="2" spans="1:25" ht="30.6" customHeight="1" thickBot="1" x14ac:dyDescent="0.35">
      <c r="B2" s="177" t="s">
        <v>145</v>
      </c>
      <c r="C2" s="178"/>
      <c r="D2" s="179"/>
      <c r="N2" s="3"/>
      <c r="O2" s="4"/>
    </row>
    <row r="3" spans="1:25" ht="27" customHeight="1" x14ac:dyDescent="0.3">
      <c r="D3" s="180" t="s">
        <v>0</v>
      </c>
      <c r="E3" s="180"/>
      <c r="F3" s="180"/>
      <c r="G3" s="180"/>
      <c r="H3" s="180"/>
      <c r="I3" s="180"/>
      <c r="J3" s="180"/>
      <c r="K3" s="180"/>
      <c r="L3" s="180"/>
      <c r="M3" s="180"/>
      <c r="N3" s="3"/>
      <c r="O3" s="4"/>
    </row>
    <row r="4" spans="1:25" ht="7.5" customHeight="1" thickBot="1" x14ac:dyDescent="0.35">
      <c r="N4" s="3"/>
      <c r="O4" s="4"/>
    </row>
    <row r="5" spans="1:25" s="2" customFormat="1" ht="27" customHeight="1" thickBot="1" x14ac:dyDescent="0.35">
      <c r="B5" s="274" t="s">
        <v>1</v>
      </c>
      <c r="C5" s="276" t="s">
        <v>2</v>
      </c>
      <c r="D5" s="278" t="s">
        <v>3</v>
      </c>
      <c r="E5" s="280" t="s">
        <v>153</v>
      </c>
      <c r="F5" s="204" t="s">
        <v>125</v>
      </c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6"/>
      <c r="R5" s="1"/>
      <c r="S5" s="1"/>
      <c r="T5" s="1"/>
      <c r="U5" s="1"/>
      <c r="V5" s="1"/>
      <c r="W5" s="1"/>
      <c r="X5" s="1"/>
      <c r="Y5" s="1"/>
    </row>
    <row r="6" spans="1:25" ht="21.6" customHeight="1" thickBot="1" x14ac:dyDescent="0.35">
      <c r="B6" s="275"/>
      <c r="C6" s="277"/>
      <c r="D6" s="279"/>
      <c r="E6" s="281"/>
      <c r="F6" s="198" t="s">
        <v>110</v>
      </c>
      <c r="G6" s="199"/>
      <c r="H6" s="199"/>
      <c r="I6" s="171" t="s">
        <v>115</v>
      </c>
      <c r="J6" s="172"/>
      <c r="K6" s="172"/>
      <c r="L6" s="172"/>
      <c r="M6" s="172"/>
      <c r="N6" s="172"/>
      <c r="O6" s="172"/>
      <c r="P6" s="172"/>
      <c r="Q6" s="173"/>
    </row>
    <row r="7" spans="1:25" ht="18.600000000000001" customHeight="1" x14ac:dyDescent="0.3">
      <c r="B7" s="275"/>
      <c r="C7" s="277"/>
      <c r="D7" s="279"/>
      <c r="E7" s="281"/>
      <c r="F7" s="181" t="s">
        <v>107</v>
      </c>
      <c r="G7" s="191" t="s">
        <v>112</v>
      </c>
      <c r="H7" s="189" t="s">
        <v>108</v>
      </c>
      <c r="I7" s="169" t="s">
        <v>118</v>
      </c>
      <c r="J7" s="169" t="s">
        <v>121</v>
      </c>
      <c r="K7" s="196" t="s">
        <v>146</v>
      </c>
      <c r="L7" s="255" t="s">
        <v>122</v>
      </c>
      <c r="M7" s="255" t="s">
        <v>123</v>
      </c>
      <c r="N7" s="207" t="s">
        <v>151</v>
      </c>
      <c r="O7" s="217" t="s">
        <v>150</v>
      </c>
      <c r="P7" s="167" t="s">
        <v>109</v>
      </c>
      <c r="Q7" s="169" t="s">
        <v>108</v>
      </c>
    </row>
    <row r="8" spans="1:25" ht="62.4" customHeight="1" x14ac:dyDescent="0.3">
      <c r="B8" s="275"/>
      <c r="C8" s="277"/>
      <c r="D8" s="279"/>
      <c r="E8" s="281"/>
      <c r="F8" s="182"/>
      <c r="G8" s="192"/>
      <c r="H8" s="190"/>
      <c r="I8" s="170"/>
      <c r="J8" s="215"/>
      <c r="K8" s="197"/>
      <c r="L8" s="256"/>
      <c r="M8" s="256"/>
      <c r="N8" s="208"/>
      <c r="O8" s="218"/>
      <c r="P8" s="168"/>
      <c r="Q8" s="170"/>
    </row>
    <row r="9" spans="1:25" ht="28.5" customHeight="1" thickBot="1" x14ac:dyDescent="0.35">
      <c r="B9" s="275"/>
      <c r="C9" s="277"/>
      <c r="D9" s="279"/>
      <c r="E9" s="282"/>
      <c r="F9" s="183"/>
      <c r="G9" s="5" t="s">
        <v>113</v>
      </c>
      <c r="H9" s="6" t="s">
        <v>147</v>
      </c>
      <c r="I9" s="7" t="s">
        <v>148</v>
      </c>
      <c r="J9" s="216"/>
      <c r="K9" s="8" t="s">
        <v>147</v>
      </c>
      <c r="L9" s="257"/>
      <c r="M9" s="257"/>
      <c r="N9" s="9" t="s">
        <v>147</v>
      </c>
      <c r="O9" s="111" t="s">
        <v>149</v>
      </c>
      <c r="P9" s="10" t="s">
        <v>147</v>
      </c>
      <c r="Q9" s="116" t="s">
        <v>147</v>
      </c>
    </row>
    <row r="10" spans="1:25" ht="22.5" customHeight="1" thickBot="1" x14ac:dyDescent="0.35">
      <c r="B10" s="275"/>
      <c r="C10" s="277"/>
      <c r="D10" s="279"/>
      <c r="E10" s="11" t="s">
        <v>5</v>
      </c>
      <c r="F10" s="12" t="s">
        <v>6</v>
      </c>
      <c r="G10" s="13" t="s">
        <v>7</v>
      </c>
      <c r="H10" s="13" t="s">
        <v>7</v>
      </c>
      <c r="I10" s="12" t="s">
        <v>6</v>
      </c>
      <c r="J10" s="14" t="s">
        <v>106</v>
      </c>
      <c r="K10" s="12" t="s">
        <v>6</v>
      </c>
      <c r="L10" s="15" t="s">
        <v>6</v>
      </c>
      <c r="M10" s="15" t="s">
        <v>6</v>
      </c>
      <c r="N10" s="16" t="s">
        <v>6</v>
      </c>
      <c r="O10" s="112" t="s">
        <v>6</v>
      </c>
      <c r="P10" s="12" t="s">
        <v>6</v>
      </c>
      <c r="Q10" s="13" t="s">
        <v>6</v>
      </c>
      <c r="R10" s="17"/>
      <c r="S10" s="17"/>
    </row>
    <row r="11" spans="1:25" s="2" customFormat="1" ht="13.5" customHeight="1" thickBot="1" x14ac:dyDescent="0.35">
      <c r="B11" s="18">
        <v>1</v>
      </c>
      <c r="C11" s="18">
        <v>2</v>
      </c>
      <c r="D11" s="18">
        <v>3</v>
      </c>
      <c r="E11" s="19">
        <v>4</v>
      </c>
      <c r="F11" s="18">
        <v>5</v>
      </c>
      <c r="G11" s="18">
        <v>6</v>
      </c>
      <c r="H11" s="18">
        <v>7</v>
      </c>
      <c r="I11" s="18">
        <v>8</v>
      </c>
      <c r="J11" s="20">
        <v>9</v>
      </c>
      <c r="K11" s="19">
        <v>10</v>
      </c>
      <c r="L11" s="18">
        <v>11</v>
      </c>
      <c r="M11" s="18">
        <v>12</v>
      </c>
      <c r="N11" s="18">
        <v>13</v>
      </c>
      <c r="O11" s="113">
        <v>14</v>
      </c>
      <c r="P11" s="19">
        <v>15</v>
      </c>
      <c r="Q11" s="19">
        <v>16</v>
      </c>
      <c r="R11" s="21"/>
      <c r="S11" s="21"/>
      <c r="T11" s="1"/>
      <c r="U11" s="1"/>
    </row>
    <row r="12" spans="1:25" ht="15" customHeight="1" x14ac:dyDescent="0.3">
      <c r="A12" s="22"/>
      <c r="B12" s="23" t="s">
        <v>8</v>
      </c>
      <c r="C12" s="24" t="s">
        <v>9</v>
      </c>
      <c r="D12" s="25" t="s">
        <v>10</v>
      </c>
      <c r="E12" s="144">
        <f>4455053.8+819000</f>
        <v>5274053.8</v>
      </c>
      <c r="F12" s="223"/>
      <c r="G12" s="193"/>
      <c r="H12" s="230"/>
      <c r="I12" s="213">
        <v>0.33200000000000002</v>
      </c>
      <c r="J12" s="150">
        <v>1.0807</v>
      </c>
      <c r="K12" s="26">
        <f t="shared" ref="K12:K23" si="0">$I$12*J12</f>
        <v>0.35879240000000001</v>
      </c>
      <c r="L12" s="220">
        <v>0</v>
      </c>
      <c r="M12" s="200">
        <v>5.0000000000000001E-3</v>
      </c>
      <c r="N12" s="209">
        <v>3.3000000000000002E-2</v>
      </c>
      <c r="O12" s="114">
        <f t="shared" ref="O12:O32" si="1">K12+$L$12+$M$12+$N$12</f>
        <v>0.39679240000000005</v>
      </c>
      <c r="P12" s="27">
        <f>(E12*O12)</f>
        <v>2092704.4650311202</v>
      </c>
      <c r="Q12" s="117">
        <f t="shared" ref="Q12:Q32" si="2">P12*1.23</f>
        <v>2574026.491988278</v>
      </c>
      <c r="R12" s="28"/>
      <c r="S12" s="28"/>
      <c r="T12" s="28"/>
    </row>
    <row r="13" spans="1:25" ht="15" customHeight="1" x14ac:dyDescent="0.3">
      <c r="A13" s="219"/>
      <c r="B13" s="29" t="s">
        <v>11</v>
      </c>
      <c r="C13" s="226" t="s">
        <v>16</v>
      </c>
      <c r="D13" s="30" t="s">
        <v>79</v>
      </c>
      <c r="E13" s="145">
        <v>594654.19999999995</v>
      </c>
      <c r="F13" s="224"/>
      <c r="G13" s="194"/>
      <c r="H13" s="231"/>
      <c r="I13" s="214"/>
      <c r="J13" s="151">
        <v>1.2134</v>
      </c>
      <c r="K13" s="31">
        <f t="shared" si="0"/>
        <v>0.40284880000000001</v>
      </c>
      <c r="L13" s="221"/>
      <c r="M13" s="201"/>
      <c r="N13" s="210"/>
      <c r="O13" s="115">
        <f t="shared" si="1"/>
        <v>0.44084880000000004</v>
      </c>
      <c r="P13" s="32">
        <f t="shared" ref="P13:P23" si="3">(E13*O13)</f>
        <v>262152.59048496</v>
      </c>
      <c r="Q13" s="118">
        <f t="shared" si="2"/>
        <v>322447.68629650079</v>
      </c>
      <c r="R13" s="28"/>
      <c r="S13" s="28"/>
      <c r="T13" s="28"/>
    </row>
    <row r="14" spans="1:25" ht="15" customHeight="1" x14ac:dyDescent="0.3">
      <c r="A14" s="219"/>
      <c r="B14" s="29" t="s">
        <v>13</v>
      </c>
      <c r="C14" s="226"/>
      <c r="D14" s="30" t="s">
        <v>80</v>
      </c>
      <c r="E14" s="145">
        <v>659793.9</v>
      </c>
      <c r="F14" s="224"/>
      <c r="G14" s="194"/>
      <c r="H14" s="231"/>
      <c r="I14" s="214"/>
      <c r="J14" s="151">
        <v>1.6465000000000001</v>
      </c>
      <c r="K14" s="31">
        <f t="shared" si="0"/>
        <v>0.54663800000000007</v>
      </c>
      <c r="L14" s="221"/>
      <c r="M14" s="201"/>
      <c r="N14" s="210"/>
      <c r="O14" s="115">
        <f t="shared" si="1"/>
        <v>0.5846380000000001</v>
      </c>
      <c r="P14" s="32">
        <f t="shared" si="3"/>
        <v>385740.58610820008</v>
      </c>
      <c r="Q14" s="118">
        <f t="shared" si="2"/>
        <v>474460.9209130861</v>
      </c>
      <c r="R14" s="28"/>
      <c r="S14" s="28"/>
      <c r="T14" s="28"/>
    </row>
    <row r="15" spans="1:25" ht="15" customHeight="1" x14ac:dyDescent="0.3">
      <c r="A15" s="219"/>
      <c r="B15" s="29" t="s">
        <v>15</v>
      </c>
      <c r="C15" s="226"/>
      <c r="D15" s="30" t="s">
        <v>19</v>
      </c>
      <c r="E15" s="145">
        <v>2342520.9</v>
      </c>
      <c r="F15" s="224"/>
      <c r="G15" s="194"/>
      <c r="H15" s="231"/>
      <c r="I15" s="214"/>
      <c r="J15" s="151">
        <v>0.94159999999999999</v>
      </c>
      <c r="K15" s="31">
        <f t="shared" si="0"/>
        <v>0.31261120000000003</v>
      </c>
      <c r="L15" s="221"/>
      <c r="M15" s="201"/>
      <c r="N15" s="210"/>
      <c r="O15" s="115">
        <f t="shared" si="1"/>
        <v>0.35061120000000001</v>
      </c>
      <c r="P15" s="32">
        <f t="shared" si="3"/>
        <v>821314.06377408002</v>
      </c>
      <c r="Q15" s="118">
        <f t="shared" si="2"/>
        <v>1010216.2984421185</v>
      </c>
      <c r="R15" s="28"/>
      <c r="S15" s="28"/>
      <c r="T15" s="28"/>
    </row>
    <row r="16" spans="1:25" ht="15" customHeight="1" x14ac:dyDescent="0.3">
      <c r="A16" s="22"/>
      <c r="B16" s="29" t="s">
        <v>17</v>
      </c>
      <c r="C16" s="33" t="s">
        <v>22</v>
      </c>
      <c r="D16" s="30" t="s">
        <v>10</v>
      </c>
      <c r="E16" s="145">
        <f>7014003.7+524623</f>
        <v>7538626.7000000002</v>
      </c>
      <c r="F16" s="224"/>
      <c r="G16" s="194"/>
      <c r="H16" s="231"/>
      <c r="I16" s="214"/>
      <c r="J16" s="151">
        <v>1.1402000000000001</v>
      </c>
      <c r="K16" s="31">
        <f t="shared" si="0"/>
        <v>0.37854640000000006</v>
      </c>
      <c r="L16" s="221"/>
      <c r="M16" s="201"/>
      <c r="N16" s="210"/>
      <c r="O16" s="115">
        <f t="shared" si="1"/>
        <v>0.41654640000000009</v>
      </c>
      <c r="P16" s="32">
        <f t="shared" si="3"/>
        <v>3140187.8128288807</v>
      </c>
      <c r="Q16" s="118">
        <f t="shared" si="2"/>
        <v>3862431.0097795231</v>
      </c>
      <c r="R16" s="28"/>
      <c r="S16" s="28"/>
      <c r="T16" s="28"/>
    </row>
    <row r="17" spans="1:26" ht="15" customHeight="1" x14ac:dyDescent="0.3">
      <c r="A17" s="219"/>
      <c r="B17" s="29" t="s">
        <v>18</v>
      </c>
      <c r="C17" s="226" t="s">
        <v>23</v>
      </c>
      <c r="D17" s="30" t="s">
        <v>12</v>
      </c>
      <c r="E17" s="145">
        <f>490317+38000</f>
        <v>528317</v>
      </c>
      <c r="F17" s="224"/>
      <c r="G17" s="194"/>
      <c r="H17" s="231"/>
      <c r="I17" s="214"/>
      <c r="J17" s="151">
        <v>1.4810000000000001</v>
      </c>
      <c r="K17" s="31">
        <f t="shared" si="0"/>
        <v>0.49169200000000007</v>
      </c>
      <c r="L17" s="221"/>
      <c r="M17" s="201"/>
      <c r="N17" s="210"/>
      <c r="O17" s="115">
        <f t="shared" si="1"/>
        <v>0.52969200000000005</v>
      </c>
      <c r="P17" s="32">
        <f t="shared" si="3"/>
        <v>279845.28836400004</v>
      </c>
      <c r="Q17" s="118">
        <f t="shared" si="2"/>
        <v>344209.70468772005</v>
      </c>
      <c r="R17" s="28"/>
      <c r="S17" s="28"/>
      <c r="T17" s="28"/>
    </row>
    <row r="18" spans="1:26" ht="15" customHeight="1" x14ac:dyDescent="0.3">
      <c r="A18" s="219"/>
      <c r="B18" s="29" t="s">
        <v>20</v>
      </c>
      <c r="C18" s="226"/>
      <c r="D18" s="30" t="s">
        <v>14</v>
      </c>
      <c r="E18" s="145">
        <f>762551+106000</f>
        <v>868551</v>
      </c>
      <c r="F18" s="224"/>
      <c r="G18" s="194"/>
      <c r="H18" s="231"/>
      <c r="I18" s="214"/>
      <c r="J18" s="151">
        <v>0.94640000000000002</v>
      </c>
      <c r="K18" s="31">
        <f t="shared" si="0"/>
        <v>0.31420480000000001</v>
      </c>
      <c r="L18" s="221"/>
      <c r="M18" s="201"/>
      <c r="N18" s="210"/>
      <c r="O18" s="115">
        <f t="shared" si="1"/>
        <v>0.35220479999999998</v>
      </c>
      <c r="P18" s="32">
        <f t="shared" si="3"/>
        <v>305907.83124480001</v>
      </c>
      <c r="Q18" s="118">
        <f t="shared" si="2"/>
        <v>376266.63243110402</v>
      </c>
      <c r="R18" s="28"/>
      <c r="S18" s="28"/>
      <c r="T18" s="28"/>
    </row>
    <row r="19" spans="1:26" ht="15" customHeight="1" x14ac:dyDescent="0.3">
      <c r="A19" s="219"/>
      <c r="B19" s="29" t="s">
        <v>21</v>
      </c>
      <c r="C19" s="226" t="s">
        <v>24</v>
      </c>
      <c r="D19" s="30" t="s">
        <v>25</v>
      </c>
      <c r="E19" s="145">
        <f>1390400.2+85000</f>
        <v>1475400.2</v>
      </c>
      <c r="F19" s="224"/>
      <c r="G19" s="194"/>
      <c r="H19" s="231"/>
      <c r="I19" s="214"/>
      <c r="J19" s="151">
        <v>1.216</v>
      </c>
      <c r="K19" s="31">
        <f t="shared" si="0"/>
        <v>0.40371200000000002</v>
      </c>
      <c r="L19" s="221"/>
      <c r="M19" s="201"/>
      <c r="N19" s="210"/>
      <c r="O19" s="115">
        <f t="shared" si="1"/>
        <v>0.44171199999999999</v>
      </c>
      <c r="P19" s="32">
        <f t="shared" si="3"/>
        <v>651701.97314239992</v>
      </c>
      <c r="Q19" s="118">
        <f t="shared" si="2"/>
        <v>801593.42696515191</v>
      </c>
      <c r="R19" s="28"/>
      <c r="S19" s="28"/>
      <c r="T19" s="28"/>
      <c r="V19" s="2"/>
      <c r="W19" s="2"/>
    </row>
    <row r="20" spans="1:26" ht="15" customHeight="1" x14ac:dyDescent="0.3">
      <c r="A20" s="219"/>
      <c r="B20" s="29" t="s">
        <v>83</v>
      </c>
      <c r="C20" s="226"/>
      <c r="D20" s="30" t="s">
        <v>26</v>
      </c>
      <c r="E20" s="145">
        <f>956914.4+31000</f>
        <v>987914.4</v>
      </c>
      <c r="F20" s="224"/>
      <c r="G20" s="194"/>
      <c r="H20" s="231"/>
      <c r="I20" s="214"/>
      <c r="J20" s="151">
        <v>0.89090000000000003</v>
      </c>
      <c r="K20" s="31">
        <f t="shared" si="0"/>
        <v>0.29577880000000001</v>
      </c>
      <c r="L20" s="221"/>
      <c r="M20" s="201"/>
      <c r="N20" s="210"/>
      <c r="O20" s="115">
        <f t="shared" si="1"/>
        <v>0.33377880000000004</v>
      </c>
      <c r="P20" s="32">
        <f t="shared" si="3"/>
        <v>329744.88293472002</v>
      </c>
      <c r="Q20" s="118">
        <f t="shared" si="2"/>
        <v>405586.20600970561</v>
      </c>
      <c r="R20" s="28"/>
      <c r="S20" s="28"/>
      <c r="T20" s="28"/>
      <c r="V20" s="2"/>
      <c r="W20" s="2"/>
    </row>
    <row r="21" spans="1:26" ht="15" customHeight="1" x14ac:dyDescent="0.3">
      <c r="A21" s="219"/>
      <c r="B21" s="29" t="s">
        <v>84</v>
      </c>
      <c r="C21" s="226" t="s">
        <v>27</v>
      </c>
      <c r="D21" s="30" t="s">
        <v>79</v>
      </c>
      <c r="E21" s="145">
        <v>96319</v>
      </c>
      <c r="F21" s="224"/>
      <c r="G21" s="194"/>
      <c r="H21" s="231"/>
      <c r="I21" s="214"/>
      <c r="J21" s="151">
        <v>1.2099</v>
      </c>
      <c r="K21" s="31">
        <f t="shared" si="0"/>
        <v>0.40168680000000001</v>
      </c>
      <c r="L21" s="221"/>
      <c r="M21" s="201"/>
      <c r="N21" s="210"/>
      <c r="O21" s="115">
        <f t="shared" si="1"/>
        <v>0.43968680000000004</v>
      </c>
      <c r="P21" s="32">
        <f t="shared" si="3"/>
        <v>42350.192889200007</v>
      </c>
      <c r="Q21" s="118">
        <f t="shared" si="2"/>
        <v>52090.737253716004</v>
      </c>
      <c r="R21" s="28"/>
      <c r="S21" s="28"/>
      <c r="T21" s="28"/>
      <c r="V21" s="2"/>
      <c r="W21" s="2"/>
    </row>
    <row r="22" spans="1:26" ht="15" customHeight="1" x14ac:dyDescent="0.3">
      <c r="A22" s="219"/>
      <c r="B22" s="29" t="s">
        <v>85</v>
      </c>
      <c r="C22" s="226"/>
      <c r="D22" s="30" t="s">
        <v>80</v>
      </c>
      <c r="E22" s="145">
        <v>169041</v>
      </c>
      <c r="F22" s="224"/>
      <c r="G22" s="194"/>
      <c r="H22" s="231"/>
      <c r="I22" s="214"/>
      <c r="J22" s="151">
        <v>1.6047</v>
      </c>
      <c r="K22" s="31">
        <f t="shared" si="0"/>
        <v>0.53276040000000002</v>
      </c>
      <c r="L22" s="221"/>
      <c r="M22" s="201"/>
      <c r="N22" s="210"/>
      <c r="O22" s="115">
        <f t="shared" si="1"/>
        <v>0.57076040000000006</v>
      </c>
      <c r="P22" s="32">
        <f t="shared" si="3"/>
        <v>96481.908776400014</v>
      </c>
      <c r="Q22" s="118">
        <f t="shared" si="2"/>
        <v>118672.74779497202</v>
      </c>
      <c r="R22" s="28"/>
      <c r="S22" s="28"/>
      <c r="T22" s="28"/>
      <c r="V22" s="2"/>
      <c r="W22" s="2"/>
    </row>
    <row r="23" spans="1:26" ht="15" customHeight="1" x14ac:dyDescent="0.3">
      <c r="A23" s="219"/>
      <c r="B23" s="29" t="s">
        <v>86</v>
      </c>
      <c r="C23" s="226"/>
      <c r="D23" s="30" t="s">
        <v>19</v>
      </c>
      <c r="E23" s="145">
        <v>271123</v>
      </c>
      <c r="F23" s="224"/>
      <c r="G23" s="194"/>
      <c r="H23" s="231"/>
      <c r="I23" s="214"/>
      <c r="J23" s="151">
        <v>0.95479999999999998</v>
      </c>
      <c r="K23" s="31">
        <f t="shared" si="0"/>
        <v>0.31699359999999999</v>
      </c>
      <c r="L23" s="221"/>
      <c r="M23" s="201"/>
      <c r="N23" s="210"/>
      <c r="O23" s="115">
        <f t="shared" si="1"/>
        <v>0.35499360000000002</v>
      </c>
      <c r="P23" s="32">
        <f t="shared" si="3"/>
        <v>96246.929812800008</v>
      </c>
      <c r="Q23" s="118">
        <f t="shared" si="2"/>
        <v>118383.72366974401</v>
      </c>
      <c r="R23" s="28"/>
      <c r="S23" s="28"/>
      <c r="T23" s="28"/>
      <c r="U23" s="34"/>
      <c r="V23" s="2"/>
      <c r="W23" s="2"/>
    </row>
    <row r="24" spans="1:26" ht="15" customHeight="1" x14ac:dyDescent="0.3">
      <c r="A24" s="22"/>
      <c r="B24" s="29" t="s">
        <v>87</v>
      </c>
      <c r="C24" s="33" t="s">
        <v>28</v>
      </c>
      <c r="D24" s="30" t="s">
        <v>10</v>
      </c>
      <c r="E24" s="145">
        <f>15953751.72+562459</f>
        <v>16516210.720000001</v>
      </c>
      <c r="F24" s="224"/>
      <c r="G24" s="194"/>
      <c r="H24" s="231"/>
      <c r="I24" s="214"/>
      <c r="J24" s="228">
        <v>0.98529999999999995</v>
      </c>
      <c r="K24" s="233">
        <f>I12*J24</f>
        <v>0.32711960000000001</v>
      </c>
      <c r="L24" s="221"/>
      <c r="M24" s="201"/>
      <c r="N24" s="210"/>
      <c r="O24" s="211">
        <f t="shared" si="1"/>
        <v>0.36511959999999999</v>
      </c>
      <c r="P24" s="32">
        <f>(E24*O24)</f>
        <v>6030392.2516021123</v>
      </c>
      <c r="Q24" s="118">
        <f t="shared" si="2"/>
        <v>7417382.4694705978</v>
      </c>
      <c r="R24" s="28"/>
      <c r="S24" s="28"/>
      <c r="T24" s="28"/>
      <c r="U24" s="34"/>
      <c r="V24" s="35"/>
      <c r="W24" s="35"/>
    </row>
    <row r="25" spans="1:26" ht="15" customHeight="1" x14ac:dyDescent="0.3">
      <c r="A25" s="219"/>
      <c r="B25" s="29" t="s">
        <v>88</v>
      </c>
      <c r="C25" s="226" t="s">
        <v>29</v>
      </c>
      <c r="D25" s="30" t="s">
        <v>12</v>
      </c>
      <c r="E25" s="145">
        <f>5477884.4+24162</f>
        <v>5502046.4000000004</v>
      </c>
      <c r="F25" s="224"/>
      <c r="G25" s="194"/>
      <c r="H25" s="231"/>
      <c r="I25" s="214"/>
      <c r="J25" s="229"/>
      <c r="K25" s="233"/>
      <c r="L25" s="221"/>
      <c r="M25" s="201"/>
      <c r="N25" s="210"/>
      <c r="O25" s="211">
        <f t="shared" si="1"/>
        <v>3.7999999999999999E-2</v>
      </c>
      <c r="P25" s="32">
        <f>(E25*O24)</f>
        <v>2008904.9807494401</v>
      </c>
      <c r="Q25" s="118">
        <f t="shared" si="2"/>
        <v>2470953.1263218112</v>
      </c>
      <c r="R25" s="28"/>
      <c r="S25" s="28"/>
      <c r="T25" s="28"/>
      <c r="U25" s="34"/>
      <c r="V25" s="35"/>
      <c r="W25" s="35"/>
    </row>
    <row r="26" spans="1:26" ht="15" customHeight="1" x14ac:dyDescent="0.3">
      <c r="A26" s="219"/>
      <c r="B26" s="29" t="s">
        <v>89</v>
      </c>
      <c r="C26" s="226"/>
      <c r="D26" s="30" t="s">
        <v>14</v>
      </c>
      <c r="E26" s="145">
        <f>9809726.7+86458</f>
        <v>9896184.6999999993</v>
      </c>
      <c r="F26" s="224"/>
      <c r="G26" s="194"/>
      <c r="H26" s="231"/>
      <c r="I26" s="214"/>
      <c r="J26" s="229"/>
      <c r="K26" s="233"/>
      <c r="L26" s="221"/>
      <c r="M26" s="201"/>
      <c r="N26" s="210"/>
      <c r="O26" s="211">
        <f t="shared" si="1"/>
        <v>3.7999999999999999E-2</v>
      </c>
      <c r="P26" s="32">
        <f>(E26*O24)</f>
        <v>3613290.9991901196</v>
      </c>
      <c r="Q26" s="118">
        <f t="shared" si="2"/>
        <v>4444347.9290038468</v>
      </c>
      <c r="R26" s="28"/>
      <c r="S26" s="28"/>
      <c r="T26" s="28"/>
      <c r="U26" s="34"/>
      <c r="V26" s="2"/>
      <c r="W26" s="2"/>
    </row>
    <row r="27" spans="1:26" ht="15" customHeight="1" x14ac:dyDescent="0.3">
      <c r="A27" s="219"/>
      <c r="B27" s="29" t="s">
        <v>90</v>
      </c>
      <c r="C27" s="226" t="s">
        <v>30</v>
      </c>
      <c r="D27" s="30" t="s">
        <v>25</v>
      </c>
      <c r="E27" s="145">
        <f>316932.4+1739</f>
        <v>318671.40000000002</v>
      </c>
      <c r="F27" s="224"/>
      <c r="G27" s="194"/>
      <c r="H27" s="231"/>
      <c r="I27" s="214"/>
      <c r="J27" s="229"/>
      <c r="K27" s="233"/>
      <c r="L27" s="221"/>
      <c r="M27" s="201"/>
      <c r="N27" s="210"/>
      <c r="O27" s="211">
        <f t="shared" si="1"/>
        <v>3.7999999999999999E-2</v>
      </c>
      <c r="P27" s="32">
        <f>(E27*O24)</f>
        <v>116353.17409944</v>
      </c>
      <c r="Q27" s="118">
        <f t="shared" si="2"/>
        <v>143114.40414231119</v>
      </c>
      <c r="R27" s="28"/>
      <c r="S27" s="28"/>
      <c r="T27" s="28"/>
      <c r="U27" s="28"/>
      <c r="V27" s="28"/>
      <c r="W27" s="28"/>
      <c r="X27" s="28"/>
      <c r="Y27" s="28"/>
      <c r="Z27" s="28"/>
    </row>
    <row r="28" spans="1:26" ht="15" customHeight="1" x14ac:dyDescent="0.3">
      <c r="A28" s="219"/>
      <c r="B28" s="29" t="s">
        <v>91</v>
      </c>
      <c r="C28" s="226"/>
      <c r="D28" s="30" t="s">
        <v>26</v>
      </c>
      <c r="E28" s="145">
        <f>145301.2+7414</f>
        <v>152715.20000000001</v>
      </c>
      <c r="F28" s="224"/>
      <c r="G28" s="194"/>
      <c r="H28" s="231"/>
      <c r="I28" s="214"/>
      <c r="J28" s="229"/>
      <c r="K28" s="233"/>
      <c r="L28" s="221"/>
      <c r="M28" s="201"/>
      <c r="N28" s="210"/>
      <c r="O28" s="211">
        <f t="shared" si="1"/>
        <v>3.7999999999999999E-2</v>
      </c>
      <c r="P28" s="32">
        <f>(E28*O24)</f>
        <v>55759.312737920001</v>
      </c>
      <c r="Q28" s="118">
        <f t="shared" si="2"/>
        <v>68583.954667641607</v>
      </c>
      <c r="R28" s="28"/>
      <c r="S28" s="28"/>
      <c r="T28" s="28"/>
      <c r="U28" s="28"/>
      <c r="V28" s="28"/>
      <c r="W28" s="28"/>
      <c r="X28" s="28"/>
      <c r="Y28" s="28"/>
      <c r="Z28" s="28"/>
    </row>
    <row r="29" spans="1:26" ht="15" customHeight="1" x14ac:dyDescent="0.3">
      <c r="A29" s="219"/>
      <c r="B29" s="29" t="s">
        <v>92</v>
      </c>
      <c r="C29" s="226" t="s">
        <v>31</v>
      </c>
      <c r="D29" s="30" t="s">
        <v>25</v>
      </c>
      <c r="E29" s="145">
        <f>11292863.41+87128</f>
        <v>11379991.41</v>
      </c>
      <c r="F29" s="224"/>
      <c r="G29" s="194"/>
      <c r="H29" s="231"/>
      <c r="I29" s="214"/>
      <c r="J29" s="229"/>
      <c r="K29" s="233"/>
      <c r="L29" s="221"/>
      <c r="M29" s="201"/>
      <c r="N29" s="210"/>
      <c r="O29" s="211">
        <f t="shared" si="1"/>
        <v>3.7999999999999999E-2</v>
      </c>
      <c r="P29" s="32">
        <f>(E29*O24)</f>
        <v>4155057.911622636</v>
      </c>
      <c r="Q29" s="118">
        <f t="shared" si="2"/>
        <v>5110721.2312958427</v>
      </c>
      <c r="R29" s="28"/>
      <c r="S29" s="28"/>
      <c r="T29" s="28"/>
      <c r="U29" s="28"/>
      <c r="V29" s="28"/>
      <c r="W29" s="28"/>
      <c r="X29" s="28"/>
      <c r="Y29" s="28"/>
      <c r="Z29" s="28"/>
    </row>
    <row r="30" spans="1:26" ht="15" customHeight="1" x14ac:dyDescent="0.3">
      <c r="A30" s="219"/>
      <c r="B30" s="29" t="s">
        <v>93</v>
      </c>
      <c r="C30" s="226"/>
      <c r="D30" s="30" t="s">
        <v>26</v>
      </c>
      <c r="E30" s="145">
        <f>52248713.99+348806</f>
        <v>52597519.990000002</v>
      </c>
      <c r="F30" s="224"/>
      <c r="G30" s="194"/>
      <c r="H30" s="231"/>
      <c r="I30" s="214"/>
      <c r="J30" s="229"/>
      <c r="K30" s="233"/>
      <c r="L30" s="221"/>
      <c r="M30" s="201"/>
      <c r="N30" s="210"/>
      <c r="O30" s="211">
        <f t="shared" si="1"/>
        <v>3.7999999999999999E-2</v>
      </c>
      <c r="P30" s="32">
        <f>(E30*O24)</f>
        <v>19204385.459740803</v>
      </c>
      <c r="Q30" s="118">
        <f t="shared" si="2"/>
        <v>23621394.115481187</v>
      </c>
      <c r="R30" s="28"/>
      <c r="S30" s="28"/>
      <c r="T30" s="28"/>
      <c r="U30" s="28"/>
      <c r="V30" s="28"/>
      <c r="W30" s="28"/>
      <c r="X30" s="28"/>
      <c r="Y30" s="28"/>
      <c r="Z30" s="28"/>
    </row>
    <row r="31" spans="1:26" ht="15" customHeight="1" x14ac:dyDescent="0.3">
      <c r="A31" s="22"/>
      <c r="B31" s="29" t="s">
        <v>94</v>
      </c>
      <c r="C31" s="33" t="s">
        <v>32</v>
      </c>
      <c r="D31" s="30" t="s">
        <v>33</v>
      </c>
      <c r="E31" s="145">
        <v>1076476.1000000001</v>
      </c>
      <c r="F31" s="224"/>
      <c r="G31" s="194"/>
      <c r="H31" s="231"/>
      <c r="I31" s="214"/>
      <c r="J31" s="229"/>
      <c r="K31" s="233"/>
      <c r="L31" s="221"/>
      <c r="M31" s="201"/>
      <c r="N31" s="210"/>
      <c r="O31" s="211">
        <f t="shared" si="1"/>
        <v>3.7999999999999999E-2</v>
      </c>
      <c r="P31" s="32">
        <f>(E31*O24)</f>
        <v>393042.52304156002</v>
      </c>
      <c r="Q31" s="118">
        <f t="shared" si="2"/>
        <v>483442.30334111879</v>
      </c>
      <c r="R31" s="28"/>
      <c r="S31" s="28"/>
      <c r="T31" s="109"/>
      <c r="U31" s="109"/>
      <c r="V31" s="28"/>
      <c r="W31" s="28"/>
      <c r="X31" s="28"/>
      <c r="Y31" s="28"/>
      <c r="Z31" s="28"/>
    </row>
    <row r="32" spans="1:26" ht="15" customHeight="1" thickBot="1" x14ac:dyDescent="0.35">
      <c r="A32" s="22"/>
      <c r="B32" s="29" t="s">
        <v>95</v>
      </c>
      <c r="C32" s="36" t="s">
        <v>82</v>
      </c>
      <c r="D32" s="37"/>
      <c r="E32" s="146">
        <v>6070</v>
      </c>
      <c r="F32" s="225"/>
      <c r="G32" s="195"/>
      <c r="H32" s="232"/>
      <c r="I32" s="214"/>
      <c r="J32" s="229"/>
      <c r="K32" s="233"/>
      <c r="L32" s="222"/>
      <c r="M32" s="201"/>
      <c r="N32" s="210"/>
      <c r="O32" s="212">
        <f t="shared" si="1"/>
        <v>3.7999999999999999E-2</v>
      </c>
      <c r="P32" s="119">
        <f>(E32*O24)</f>
        <v>2216.2759719999999</v>
      </c>
      <c r="Q32" s="120">
        <f t="shared" si="2"/>
        <v>2726.0194455599999</v>
      </c>
      <c r="R32" s="28"/>
      <c r="S32" s="28"/>
      <c r="T32" s="28"/>
      <c r="U32" s="28"/>
      <c r="V32" s="28"/>
      <c r="W32" s="28"/>
      <c r="X32" s="28"/>
      <c r="Y32" s="28"/>
      <c r="Z32" s="28"/>
    </row>
    <row r="33" spans="1:33" x14ac:dyDescent="0.3">
      <c r="A33" s="22"/>
      <c r="B33" s="29" t="s">
        <v>96</v>
      </c>
      <c r="C33" s="24" t="s">
        <v>34</v>
      </c>
      <c r="D33" s="25" t="s">
        <v>10</v>
      </c>
      <c r="E33" s="147">
        <v>1287753.5</v>
      </c>
      <c r="F33" s="125">
        <v>0.30059999999999998</v>
      </c>
      <c r="G33" s="38">
        <f>E33*F33</f>
        <v>387098.70209999999</v>
      </c>
      <c r="H33" s="38">
        <f>G33*1.23</f>
        <v>476131.40358300001</v>
      </c>
      <c r="I33" s="230"/>
      <c r="J33" s="234"/>
      <c r="K33" s="234"/>
      <c r="L33" s="234"/>
      <c r="M33" s="234"/>
      <c r="N33" s="234"/>
      <c r="O33" s="234"/>
      <c r="P33" s="234"/>
      <c r="Q33" s="235"/>
      <c r="R33" s="28"/>
      <c r="S33" s="28"/>
      <c r="T33" s="28"/>
      <c r="U33" s="28"/>
      <c r="V33" s="28"/>
      <c r="W33" s="28"/>
      <c r="X33" s="39"/>
      <c r="Y33" s="28"/>
      <c r="Z33" s="28"/>
      <c r="AA33" s="28"/>
      <c r="AB33" s="28"/>
      <c r="AC33" s="28"/>
      <c r="AD33" s="28"/>
      <c r="AE33" s="28"/>
      <c r="AF33" s="28"/>
    </row>
    <row r="34" spans="1:33" ht="15" customHeight="1" x14ac:dyDescent="0.3">
      <c r="A34" s="219"/>
      <c r="B34" s="29" t="s">
        <v>97</v>
      </c>
      <c r="C34" s="226" t="s">
        <v>81</v>
      </c>
      <c r="D34" s="30" t="s">
        <v>25</v>
      </c>
      <c r="E34" s="145">
        <v>5816</v>
      </c>
      <c r="F34" s="126">
        <v>0.3503</v>
      </c>
      <c r="G34" s="40">
        <f>E34*F34</f>
        <v>2037.3448000000001</v>
      </c>
      <c r="H34" s="40">
        <f t="shared" ref="H34:H37" si="4">G34*1.23</f>
        <v>2505.9341039999999</v>
      </c>
      <c r="I34" s="231"/>
      <c r="J34" s="236"/>
      <c r="K34" s="236"/>
      <c r="L34" s="236"/>
      <c r="M34" s="236"/>
      <c r="N34" s="236"/>
      <c r="O34" s="236"/>
      <c r="P34" s="236"/>
      <c r="Q34" s="237"/>
      <c r="R34" s="28"/>
      <c r="S34" s="28"/>
      <c r="T34" s="28"/>
      <c r="U34" s="28"/>
      <c r="V34" s="28"/>
      <c r="W34" s="28"/>
      <c r="Y34" s="28"/>
      <c r="Z34" s="28"/>
      <c r="AA34" s="28"/>
      <c r="AB34" s="28"/>
      <c r="AC34" s="28"/>
      <c r="AD34" s="28"/>
      <c r="AE34" s="28"/>
      <c r="AF34" s="28"/>
    </row>
    <row r="35" spans="1:33" ht="15" customHeight="1" x14ac:dyDescent="0.3">
      <c r="A35" s="219"/>
      <c r="B35" s="29" t="s">
        <v>98</v>
      </c>
      <c r="C35" s="226"/>
      <c r="D35" s="30" t="s">
        <v>26</v>
      </c>
      <c r="E35" s="145">
        <v>2012</v>
      </c>
      <c r="F35" s="126">
        <v>0.22720000000000001</v>
      </c>
      <c r="G35" s="40">
        <f>E35*F35</f>
        <v>457.12640000000005</v>
      </c>
      <c r="H35" s="40">
        <f t="shared" si="4"/>
        <v>562.26547200000005</v>
      </c>
      <c r="I35" s="231"/>
      <c r="J35" s="236"/>
      <c r="K35" s="236"/>
      <c r="L35" s="236"/>
      <c r="M35" s="236"/>
      <c r="N35" s="236"/>
      <c r="O35" s="236"/>
      <c r="P35" s="236"/>
      <c r="Q35" s="237"/>
      <c r="R35" s="28"/>
      <c r="S35" s="28"/>
      <c r="T35" s="28"/>
      <c r="U35" s="28"/>
      <c r="V35" s="28"/>
      <c r="W35" s="28"/>
      <c r="Y35" s="28"/>
      <c r="Z35" s="28"/>
      <c r="AA35" s="28"/>
      <c r="AB35" s="28"/>
      <c r="AC35" s="28"/>
      <c r="AD35" s="28"/>
      <c r="AE35" s="28"/>
      <c r="AF35" s="28"/>
    </row>
    <row r="36" spans="1:33" ht="15" customHeight="1" x14ac:dyDescent="0.3">
      <c r="A36" s="219"/>
      <c r="B36" s="29" t="s">
        <v>99</v>
      </c>
      <c r="C36" s="226" t="s">
        <v>35</v>
      </c>
      <c r="D36" s="30" t="s">
        <v>25</v>
      </c>
      <c r="E36" s="145">
        <v>4774.3999999999996</v>
      </c>
      <c r="F36" s="126">
        <v>0.36659999999999998</v>
      </c>
      <c r="G36" s="40">
        <f>E36*F36</f>
        <v>1750.2950399999997</v>
      </c>
      <c r="H36" s="40">
        <f t="shared" si="4"/>
        <v>2152.8628991999994</v>
      </c>
      <c r="I36" s="231"/>
      <c r="J36" s="236"/>
      <c r="K36" s="236"/>
      <c r="L36" s="236"/>
      <c r="M36" s="236"/>
      <c r="N36" s="236"/>
      <c r="O36" s="236"/>
      <c r="P36" s="236"/>
      <c r="Q36" s="237"/>
      <c r="R36" s="28"/>
      <c r="S36" s="28"/>
      <c r="T36" s="28"/>
      <c r="U36" s="28"/>
      <c r="V36" s="28"/>
      <c r="W36" s="28"/>
      <c r="Y36" s="28"/>
      <c r="Z36" s="28"/>
      <c r="AA36" s="28"/>
      <c r="AB36" s="28"/>
      <c r="AC36" s="28"/>
      <c r="AD36" s="28"/>
      <c r="AE36" s="28"/>
      <c r="AF36" s="28"/>
    </row>
    <row r="37" spans="1:33" ht="16.95" customHeight="1" thickBot="1" x14ac:dyDescent="0.35">
      <c r="A37" s="219"/>
      <c r="B37" s="41" t="s">
        <v>100</v>
      </c>
      <c r="C37" s="227"/>
      <c r="D37" s="42" t="s">
        <v>26</v>
      </c>
      <c r="E37" s="148">
        <v>33556</v>
      </c>
      <c r="F37" s="127">
        <v>0.23849999999999999</v>
      </c>
      <c r="G37" s="43">
        <f>E37*F37</f>
        <v>8003.1059999999998</v>
      </c>
      <c r="H37" s="43">
        <f t="shared" si="4"/>
        <v>9843.8203799999992</v>
      </c>
      <c r="I37" s="232"/>
      <c r="J37" s="238"/>
      <c r="K37" s="238"/>
      <c r="L37" s="238"/>
      <c r="M37" s="238"/>
      <c r="N37" s="238"/>
      <c r="O37" s="238"/>
      <c r="P37" s="238"/>
      <c r="Q37" s="239"/>
      <c r="R37" s="28"/>
      <c r="S37" s="28"/>
      <c r="T37" s="28"/>
      <c r="U37" s="28"/>
      <c r="V37" s="28"/>
      <c r="W37" s="28"/>
      <c r="Y37" s="28"/>
      <c r="Z37" s="28"/>
      <c r="AA37" s="28"/>
      <c r="AB37" s="28"/>
      <c r="AC37" s="28"/>
      <c r="AD37" s="28"/>
      <c r="AE37" s="28"/>
      <c r="AF37" s="28"/>
    </row>
    <row r="38" spans="1:33" ht="34.200000000000003" customHeight="1" thickBot="1" x14ac:dyDescent="0.35">
      <c r="A38" s="22"/>
      <c r="B38" s="44"/>
      <c r="C38" s="184" t="s">
        <v>111</v>
      </c>
      <c r="D38" s="185"/>
      <c r="E38" s="45">
        <f>SUM(E12:E37)</f>
        <v>119586112.92000002</v>
      </c>
      <c r="F38" s="164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6"/>
      <c r="Z38" s="28"/>
      <c r="AA38" s="28"/>
      <c r="AB38" s="28"/>
      <c r="AC38" s="28"/>
      <c r="AD38" s="28"/>
      <c r="AE38" s="28"/>
      <c r="AF38" s="28"/>
    </row>
    <row r="39" spans="1:33" s="2" customFormat="1" ht="39.75" customHeight="1" thickBot="1" x14ac:dyDescent="0.3">
      <c r="B39" s="44"/>
      <c r="C39" s="186" t="s">
        <v>126</v>
      </c>
      <c r="D39" s="187"/>
      <c r="E39" s="187"/>
      <c r="F39" s="187"/>
      <c r="G39" s="188"/>
      <c r="H39" s="46">
        <f>SUM(H33:H37)</f>
        <v>491196.28643819998</v>
      </c>
      <c r="I39" s="161"/>
      <c r="J39" s="162"/>
      <c r="K39" s="162"/>
      <c r="L39" s="162"/>
      <c r="M39" s="162"/>
      <c r="N39" s="162"/>
      <c r="O39" s="162"/>
      <c r="P39" s="163"/>
      <c r="Q39" s="47">
        <f>SUM(Q12:Q32)</f>
        <v>54223051.139401548</v>
      </c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</row>
    <row r="40" spans="1:33" s="2" customFormat="1" ht="39" customHeight="1" thickBot="1" x14ac:dyDescent="0.35">
      <c r="B40" s="48" t="s">
        <v>114</v>
      </c>
      <c r="C40" s="186" t="s">
        <v>154</v>
      </c>
      <c r="D40" s="283"/>
      <c r="E40" s="283"/>
      <c r="F40" s="283"/>
      <c r="G40" s="284"/>
      <c r="H40" s="202"/>
      <c r="I40" s="203"/>
      <c r="J40" s="203"/>
      <c r="K40" s="203"/>
      <c r="L40" s="203"/>
      <c r="M40" s="203"/>
      <c r="N40" s="203"/>
      <c r="O40" s="203"/>
      <c r="P40" s="203"/>
      <c r="Q40" s="121">
        <f>H39+Q39</f>
        <v>54714247.425839745</v>
      </c>
      <c r="R40" s="1"/>
      <c r="S40" s="1"/>
      <c r="T40" s="1"/>
      <c r="U40" s="1"/>
      <c r="V40" s="1"/>
      <c r="W40" s="1"/>
      <c r="X40" s="1"/>
      <c r="Y40" s="1"/>
      <c r="Z40" s="28"/>
      <c r="AA40" s="28"/>
      <c r="AB40" s="28"/>
      <c r="AC40" s="28"/>
      <c r="AD40" s="28"/>
      <c r="AE40" s="28"/>
      <c r="AF40" s="28"/>
    </row>
    <row r="41" spans="1:33" s="2" customFormat="1" ht="21.6" customHeight="1" x14ac:dyDescent="0.25">
      <c r="B41" s="50"/>
      <c r="C41" s="50"/>
      <c r="D41" s="50"/>
      <c r="E41" s="51"/>
      <c r="F41" s="50"/>
      <c r="G41" s="50"/>
      <c r="H41" s="52"/>
      <c r="N41" s="3"/>
      <c r="Z41" s="28"/>
      <c r="AA41" s="28"/>
      <c r="AB41" s="28"/>
      <c r="AC41" s="28"/>
      <c r="AD41" s="28"/>
      <c r="AE41" s="28"/>
      <c r="AF41" s="28"/>
      <c r="AG41" s="28"/>
    </row>
    <row r="42" spans="1:33" s="2" customFormat="1" ht="21.6" thickBot="1" x14ac:dyDescent="0.3">
      <c r="B42" s="49"/>
      <c r="C42" s="53" t="s">
        <v>101</v>
      </c>
      <c r="D42" s="50"/>
      <c r="E42" s="50"/>
      <c r="F42" s="50"/>
      <c r="G42" s="50"/>
      <c r="H42" s="52"/>
      <c r="N42" s="3"/>
      <c r="Z42" s="28"/>
      <c r="AA42" s="28"/>
      <c r="AB42" s="28"/>
      <c r="AC42" s="28"/>
      <c r="AD42" s="28"/>
      <c r="AE42" s="28"/>
      <c r="AF42" s="28"/>
      <c r="AG42" s="28"/>
    </row>
    <row r="43" spans="1:33" s="2" customFormat="1" ht="21.6" customHeight="1" x14ac:dyDescent="0.25">
      <c r="B43" s="49"/>
      <c r="C43" s="285" t="s">
        <v>155</v>
      </c>
      <c r="D43" s="286"/>
      <c r="E43" s="286"/>
      <c r="F43" s="286"/>
      <c r="G43" s="286"/>
      <c r="H43" s="286"/>
      <c r="I43" s="287"/>
      <c r="J43" s="54"/>
      <c r="K43" s="54"/>
      <c r="L43" s="108"/>
      <c r="M43" s="54"/>
      <c r="N43" s="54"/>
      <c r="O43" s="54"/>
      <c r="Z43" s="28"/>
      <c r="AA43" s="28"/>
      <c r="AB43" s="28"/>
      <c r="AC43" s="28"/>
      <c r="AD43" s="28"/>
      <c r="AE43" s="28"/>
      <c r="AF43" s="28"/>
      <c r="AG43" s="28"/>
    </row>
    <row r="44" spans="1:33" s="2" customFormat="1" ht="21.6" customHeight="1" x14ac:dyDescent="0.3">
      <c r="B44" s="3"/>
      <c r="C44" s="268" t="s">
        <v>160</v>
      </c>
      <c r="D44" s="269"/>
      <c r="E44" s="269"/>
      <c r="F44" s="269"/>
      <c r="G44" s="269"/>
      <c r="H44" s="269"/>
      <c r="I44" s="270"/>
      <c r="J44" s="54"/>
      <c r="K44" s="54"/>
      <c r="L44" s="143"/>
      <c r="M44" s="143"/>
      <c r="N44" s="54"/>
      <c r="O44" s="54"/>
      <c r="Z44" s="28"/>
      <c r="AA44" s="28"/>
      <c r="AB44" s="28"/>
      <c r="AC44" s="28"/>
      <c r="AD44" s="28"/>
      <c r="AE44" s="28"/>
      <c r="AF44" s="28"/>
      <c r="AG44" s="28"/>
    </row>
    <row r="45" spans="1:33" s="2" customFormat="1" ht="21.6" customHeight="1" x14ac:dyDescent="0.25">
      <c r="B45" s="3"/>
      <c r="C45" s="268" t="s">
        <v>119</v>
      </c>
      <c r="D45" s="269"/>
      <c r="E45" s="269"/>
      <c r="F45" s="269"/>
      <c r="G45" s="269"/>
      <c r="H45" s="269"/>
      <c r="I45" s="270"/>
      <c r="J45" s="54"/>
      <c r="K45" s="54"/>
      <c r="L45" s="54"/>
      <c r="M45" s="54"/>
      <c r="N45" s="54"/>
      <c r="O45" s="54"/>
      <c r="Z45" s="28"/>
      <c r="AA45" s="28"/>
      <c r="AB45" s="28"/>
      <c r="AC45" s="28"/>
      <c r="AD45" s="28"/>
      <c r="AE45" s="28"/>
      <c r="AF45" s="28"/>
      <c r="AG45" s="28"/>
    </row>
    <row r="46" spans="1:33" s="2" customFormat="1" ht="21.6" customHeight="1" x14ac:dyDescent="0.25">
      <c r="B46" s="3"/>
      <c r="C46" s="268" t="s">
        <v>124</v>
      </c>
      <c r="D46" s="269"/>
      <c r="E46" s="269"/>
      <c r="F46" s="269"/>
      <c r="G46" s="269"/>
      <c r="H46" s="269"/>
      <c r="I46" s="270"/>
      <c r="J46" s="54"/>
      <c r="Z46" s="28"/>
      <c r="AA46" s="28"/>
      <c r="AB46" s="28"/>
      <c r="AC46" s="28"/>
      <c r="AD46" s="28"/>
      <c r="AE46" s="28"/>
      <c r="AF46" s="28"/>
      <c r="AG46" s="28"/>
    </row>
    <row r="47" spans="1:33" s="2" customFormat="1" ht="22.2" customHeight="1" x14ac:dyDescent="0.25">
      <c r="B47" s="3"/>
      <c r="C47" s="268" t="s">
        <v>120</v>
      </c>
      <c r="D47" s="269"/>
      <c r="E47" s="269"/>
      <c r="F47" s="269"/>
      <c r="G47" s="269"/>
      <c r="H47" s="269"/>
      <c r="I47" s="270"/>
      <c r="J47" s="54"/>
      <c r="X47" s="55"/>
      <c r="Z47" s="28"/>
      <c r="AA47" s="28"/>
      <c r="AB47" s="28"/>
      <c r="AC47" s="28"/>
      <c r="AD47" s="28"/>
      <c r="AE47" s="28"/>
      <c r="AF47" s="28"/>
      <c r="AG47" s="28"/>
    </row>
    <row r="48" spans="1:33" s="2" customFormat="1" ht="33" customHeight="1" thickBot="1" x14ac:dyDescent="0.3">
      <c r="B48" s="3"/>
      <c r="C48" s="271" t="s">
        <v>152</v>
      </c>
      <c r="D48" s="272"/>
      <c r="E48" s="272"/>
      <c r="F48" s="272"/>
      <c r="G48" s="272"/>
      <c r="H48" s="272"/>
      <c r="I48" s="273"/>
      <c r="Z48" s="28"/>
      <c r="AA48" s="28"/>
      <c r="AB48" s="28"/>
      <c r="AC48" s="28"/>
      <c r="AD48" s="28"/>
      <c r="AE48" s="28"/>
      <c r="AF48" s="28"/>
      <c r="AG48" s="28"/>
    </row>
    <row r="49" spans="1:33" s="2" customFormat="1" ht="6.75" customHeight="1" thickBot="1" x14ac:dyDescent="0.3"/>
    <row r="50" spans="1:33" s="2" customFormat="1" ht="24.75" customHeight="1" thickBot="1" x14ac:dyDescent="0.3">
      <c r="B50" s="3"/>
      <c r="C50" s="149"/>
      <c r="D50" s="142" t="s">
        <v>157</v>
      </c>
      <c r="Z50" s="28"/>
      <c r="AA50" s="28"/>
      <c r="AB50" s="28"/>
      <c r="AC50" s="28"/>
      <c r="AD50" s="28"/>
      <c r="AE50" s="28"/>
      <c r="AF50" s="28"/>
      <c r="AG50" s="28"/>
    </row>
    <row r="51" spans="1:33" s="2" customFormat="1" ht="10.5" customHeight="1" thickBot="1" x14ac:dyDescent="0.3">
      <c r="B51" s="3"/>
      <c r="C51" s="22"/>
      <c r="D51" s="22"/>
      <c r="E51" s="22"/>
      <c r="F51" s="22"/>
      <c r="G51" s="22"/>
      <c r="H51" s="17"/>
      <c r="N51" s="3"/>
      <c r="Z51" s="28"/>
      <c r="AA51" s="28"/>
      <c r="AB51" s="28"/>
      <c r="AC51" s="28"/>
      <c r="AD51" s="28"/>
      <c r="AE51" s="28"/>
      <c r="AF51" s="28"/>
      <c r="AG51" s="28"/>
    </row>
    <row r="52" spans="1:33" s="2" customFormat="1" ht="45" customHeight="1" x14ac:dyDescent="0.3">
      <c r="B52" s="258" t="s">
        <v>1</v>
      </c>
      <c r="C52" s="260" t="s">
        <v>36</v>
      </c>
      <c r="D52" s="261"/>
      <c r="E52" s="264" t="s">
        <v>37</v>
      </c>
      <c r="F52" s="56" t="s">
        <v>38</v>
      </c>
      <c r="G52" s="56" t="s">
        <v>38</v>
      </c>
      <c r="H52" s="57" t="s">
        <v>38</v>
      </c>
      <c r="I52" s="56" t="s">
        <v>38</v>
      </c>
      <c r="J52" s="58" t="s">
        <v>39</v>
      </c>
      <c r="K52" s="59" t="s">
        <v>4</v>
      </c>
      <c r="L52" s="60" t="s">
        <v>40</v>
      </c>
      <c r="M52" s="1"/>
      <c r="N52" s="3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33" ht="15" thickBot="1" x14ac:dyDescent="0.35">
      <c r="B53" s="259"/>
      <c r="C53" s="262"/>
      <c r="D53" s="263"/>
      <c r="E53" s="265"/>
      <c r="F53" s="61" t="s">
        <v>5</v>
      </c>
      <c r="G53" s="61" t="s">
        <v>41</v>
      </c>
      <c r="H53" s="62" t="s">
        <v>42</v>
      </c>
      <c r="I53" s="61" t="s">
        <v>43</v>
      </c>
      <c r="J53" s="63" t="s">
        <v>44</v>
      </c>
      <c r="K53" s="64" t="s">
        <v>44</v>
      </c>
      <c r="L53" s="65" t="s">
        <v>44</v>
      </c>
      <c r="N53" s="3"/>
    </row>
    <row r="54" spans="1:33" ht="21.75" customHeight="1" thickBot="1" x14ac:dyDescent="0.35">
      <c r="B54" s="66">
        <v>1</v>
      </c>
      <c r="C54" s="266">
        <v>2</v>
      </c>
      <c r="D54" s="267"/>
      <c r="E54" s="67">
        <v>3</v>
      </c>
      <c r="F54" s="67">
        <v>4</v>
      </c>
      <c r="G54" s="67">
        <v>5</v>
      </c>
      <c r="H54" s="68">
        <v>6</v>
      </c>
      <c r="I54" s="67">
        <v>7</v>
      </c>
      <c r="J54" s="68">
        <v>8</v>
      </c>
      <c r="K54" s="69">
        <v>9</v>
      </c>
      <c r="L54" s="70">
        <v>10</v>
      </c>
      <c r="N54" s="3"/>
    </row>
    <row r="55" spans="1:33" ht="42.6" customHeight="1" x14ac:dyDescent="0.3">
      <c r="B55" s="72"/>
      <c r="C55" s="246" t="s">
        <v>45</v>
      </c>
      <c r="D55" s="247"/>
      <c r="E55" s="247"/>
      <c r="F55" s="247"/>
      <c r="G55" s="247"/>
      <c r="H55" s="247"/>
      <c r="I55" s="247"/>
      <c r="J55" s="247"/>
      <c r="K55" s="248"/>
      <c r="L55" s="73"/>
      <c r="N55" s="3"/>
    </row>
    <row r="56" spans="1:33" x14ac:dyDescent="0.3">
      <c r="A56" s="71"/>
      <c r="B56" s="74" t="s">
        <v>8</v>
      </c>
      <c r="C56" s="152" t="s">
        <v>46</v>
      </c>
      <c r="D56" s="153"/>
      <c r="E56" s="75" t="s">
        <v>47</v>
      </c>
      <c r="F56" s="76"/>
      <c r="G56" s="76"/>
      <c r="H56" s="77">
        <v>12</v>
      </c>
      <c r="I56" s="141">
        <f>9+4</f>
        <v>13</v>
      </c>
      <c r="J56" s="78">
        <v>10</v>
      </c>
      <c r="K56" s="79">
        <f>H56*I56*J56</f>
        <v>1560</v>
      </c>
      <c r="L56" s="80">
        <f t="shared" ref="L56:L63" si="5">K56*1.23</f>
        <v>1918.8</v>
      </c>
      <c r="N56" s="3"/>
    </row>
    <row r="57" spans="1:33" ht="15" customHeight="1" x14ac:dyDescent="0.3">
      <c r="A57" s="71"/>
      <c r="B57" s="74" t="s">
        <v>11</v>
      </c>
      <c r="C57" s="152" t="s">
        <v>48</v>
      </c>
      <c r="D57" s="153"/>
      <c r="E57" s="75" t="s">
        <v>49</v>
      </c>
      <c r="F57" s="76"/>
      <c r="G57" s="140">
        <f>1546+317</f>
        <v>1863</v>
      </c>
      <c r="H57" s="77">
        <v>12</v>
      </c>
      <c r="I57" s="76"/>
      <c r="J57" s="78">
        <v>0.19</v>
      </c>
      <c r="K57" s="79">
        <f>G57*H57*J57</f>
        <v>4247.6400000000003</v>
      </c>
      <c r="L57" s="80">
        <f t="shared" si="5"/>
        <v>5224.5972000000002</v>
      </c>
      <c r="N57" s="3"/>
    </row>
    <row r="58" spans="1:33" ht="15" customHeight="1" x14ac:dyDescent="0.3">
      <c r="A58" s="71"/>
      <c r="B58" s="74" t="s">
        <v>13</v>
      </c>
      <c r="C58" s="152" t="s">
        <v>50</v>
      </c>
      <c r="D58" s="153"/>
      <c r="E58" s="75" t="s">
        <v>51</v>
      </c>
      <c r="F58" s="81">
        <f>E12</f>
        <v>5274053.8</v>
      </c>
      <c r="G58" s="76"/>
      <c r="H58" s="76"/>
      <c r="I58" s="76"/>
      <c r="J58" s="78">
        <v>1.018E-2</v>
      </c>
      <c r="K58" s="79">
        <f>F58*J58</f>
        <v>53689.867683999997</v>
      </c>
      <c r="L58" s="80">
        <f t="shared" si="5"/>
        <v>66038.537251319998</v>
      </c>
      <c r="N58" s="3"/>
    </row>
    <row r="59" spans="1:33" ht="15" customHeight="1" x14ac:dyDescent="0.3">
      <c r="A59" s="71"/>
      <c r="B59" s="74" t="s">
        <v>15</v>
      </c>
      <c r="C59" s="154" t="s">
        <v>52</v>
      </c>
      <c r="D59" s="155"/>
      <c r="E59" s="82" t="s">
        <v>51</v>
      </c>
      <c r="F59" s="81">
        <f>F58</f>
        <v>5274053.8</v>
      </c>
      <c r="G59" s="76"/>
      <c r="H59" s="76"/>
      <c r="I59" s="76"/>
      <c r="J59" s="78">
        <v>6.5280000000000005E-2</v>
      </c>
      <c r="K59" s="79">
        <f>J59*F59</f>
        <v>344290.23206400004</v>
      </c>
      <c r="L59" s="80">
        <f t="shared" si="5"/>
        <v>423476.98543872003</v>
      </c>
      <c r="N59" s="3"/>
    </row>
    <row r="60" spans="1:33" ht="15" customHeight="1" x14ac:dyDescent="0.3">
      <c r="A60" s="71"/>
      <c r="B60" s="74" t="s">
        <v>17</v>
      </c>
      <c r="C60" s="152" t="s">
        <v>53</v>
      </c>
      <c r="D60" s="153"/>
      <c r="E60" s="75" t="s">
        <v>49</v>
      </c>
      <c r="F60" s="76"/>
      <c r="G60" s="81">
        <f>G57</f>
        <v>1863</v>
      </c>
      <c r="H60" s="77">
        <v>12</v>
      </c>
      <c r="I60" s="76"/>
      <c r="J60" s="78">
        <v>14.04</v>
      </c>
      <c r="K60" s="79">
        <f>J60*H60*G60</f>
        <v>313878.24</v>
      </c>
      <c r="L60" s="80">
        <f t="shared" si="5"/>
        <v>386070.2352</v>
      </c>
      <c r="N60" s="3"/>
    </row>
    <row r="61" spans="1:33" ht="15" customHeight="1" x14ac:dyDescent="0.3">
      <c r="A61" s="71"/>
      <c r="B61" s="74" t="s">
        <v>18</v>
      </c>
      <c r="C61" s="152" t="s">
        <v>127</v>
      </c>
      <c r="D61" s="153"/>
      <c r="E61" s="82" t="s">
        <v>51</v>
      </c>
      <c r="F61" s="81">
        <f>F58</f>
        <v>5274053.8</v>
      </c>
      <c r="G61" s="76"/>
      <c r="H61" s="76"/>
      <c r="I61" s="76"/>
      <c r="J61" s="78">
        <v>0</v>
      </c>
      <c r="K61" s="79">
        <f>F61*J61</f>
        <v>0</v>
      </c>
      <c r="L61" s="80">
        <f t="shared" si="5"/>
        <v>0</v>
      </c>
      <c r="N61" s="3"/>
    </row>
    <row r="62" spans="1:33" ht="15" customHeight="1" x14ac:dyDescent="0.3">
      <c r="A62" s="71"/>
      <c r="B62" s="74" t="s">
        <v>20</v>
      </c>
      <c r="C62" s="156" t="s">
        <v>54</v>
      </c>
      <c r="D62" s="157"/>
      <c r="E62" s="75" t="s">
        <v>51</v>
      </c>
      <c r="F62" s="81">
        <f>F58</f>
        <v>5274053.8</v>
      </c>
      <c r="G62" s="76"/>
      <c r="H62" s="76"/>
      <c r="I62" s="76"/>
      <c r="J62" s="78">
        <v>2.2000000000000001E-3</v>
      </c>
      <c r="K62" s="79">
        <f>F62*J62</f>
        <v>11602.91836</v>
      </c>
      <c r="L62" s="80">
        <f t="shared" si="5"/>
        <v>14271.589582799999</v>
      </c>
      <c r="N62" s="3"/>
    </row>
    <row r="63" spans="1:33" ht="15" customHeight="1" x14ac:dyDescent="0.3">
      <c r="B63" s="131" t="s">
        <v>21</v>
      </c>
      <c r="C63" s="156" t="s">
        <v>156</v>
      </c>
      <c r="D63" s="157"/>
      <c r="E63" s="75" t="s">
        <v>51</v>
      </c>
      <c r="F63" s="81">
        <f>F58*0.65</f>
        <v>3428134.97</v>
      </c>
      <c r="G63" s="76"/>
      <c r="H63" s="76"/>
      <c r="I63" s="76"/>
      <c r="J63" s="78">
        <v>7.6200000000000004E-2</v>
      </c>
      <c r="K63" s="79">
        <f>F63*J63</f>
        <v>261223.88471400001</v>
      </c>
      <c r="L63" s="80">
        <f t="shared" si="5"/>
        <v>321305.37819821999</v>
      </c>
      <c r="N63" s="3"/>
    </row>
    <row r="64" spans="1:33" ht="26.4" customHeight="1" thickBot="1" x14ac:dyDescent="0.35">
      <c r="A64" s="71"/>
      <c r="B64" s="83">
        <v>1</v>
      </c>
      <c r="C64" s="158" t="s">
        <v>128</v>
      </c>
      <c r="D64" s="159"/>
      <c r="E64" s="159"/>
      <c r="F64" s="159"/>
      <c r="G64" s="159"/>
      <c r="H64" s="159"/>
      <c r="I64" s="159"/>
      <c r="J64" s="159"/>
      <c r="K64" s="160"/>
      <c r="L64" s="84">
        <f>SUM(L56:L63)</f>
        <v>1218306.1228710602</v>
      </c>
      <c r="N64" s="3"/>
    </row>
    <row r="65" spans="1:14" ht="45" customHeight="1" x14ac:dyDescent="0.3">
      <c r="A65" s="71"/>
      <c r="B65" s="85"/>
      <c r="C65" s="174" t="s">
        <v>57</v>
      </c>
      <c r="D65" s="175"/>
      <c r="E65" s="175"/>
      <c r="F65" s="175"/>
      <c r="G65" s="175"/>
      <c r="H65" s="175"/>
      <c r="I65" s="175"/>
      <c r="J65" s="175"/>
      <c r="K65" s="176"/>
      <c r="L65" s="86"/>
      <c r="N65" s="3"/>
    </row>
    <row r="66" spans="1:14" x14ac:dyDescent="0.3">
      <c r="A66" s="87"/>
      <c r="B66" s="74" t="s">
        <v>8</v>
      </c>
      <c r="C66" s="152" t="s">
        <v>46</v>
      </c>
      <c r="D66" s="153"/>
      <c r="E66" s="75" t="s">
        <v>47</v>
      </c>
      <c r="F66" s="76"/>
      <c r="G66" s="76"/>
      <c r="H66" s="77">
        <v>6</v>
      </c>
      <c r="I66" s="141">
        <v>5</v>
      </c>
      <c r="J66" s="78">
        <v>10</v>
      </c>
      <c r="K66" s="79">
        <f>H66*I66*J66</f>
        <v>300</v>
      </c>
      <c r="L66" s="80">
        <f t="shared" ref="L66:L75" si="6">K66*1.23</f>
        <v>369</v>
      </c>
      <c r="N66" s="3"/>
    </row>
    <row r="67" spans="1:14" ht="15" customHeight="1" x14ac:dyDescent="0.3">
      <c r="A67" s="87"/>
      <c r="B67" s="74" t="s">
        <v>11</v>
      </c>
      <c r="C67" s="152" t="s">
        <v>48</v>
      </c>
      <c r="D67" s="153"/>
      <c r="E67" s="75" t="s">
        <v>49</v>
      </c>
      <c r="F67" s="76"/>
      <c r="G67" s="140">
        <v>873</v>
      </c>
      <c r="H67" s="77">
        <v>6</v>
      </c>
      <c r="I67" s="76"/>
      <c r="J67" s="78">
        <v>0.19</v>
      </c>
      <c r="K67" s="79">
        <f>G67*H67*J67</f>
        <v>995.22</v>
      </c>
      <c r="L67" s="80">
        <f t="shared" si="6"/>
        <v>1224.1206</v>
      </c>
      <c r="N67" s="3"/>
    </row>
    <row r="68" spans="1:14" ht="15" customHeight="1" x14ac:dyDescent="0.3">
      <c r="A68" s="87"/>
      <c r="B68" s="74" t="s">
        <v>13</v>
      </c>
      <c r="C68" s="152" t="s">
        <v>50</v>
      </c>
      <c r="D68" s="153"/>
      <c r="E68" s="75" t="s">
        <v>51</v>
      </c>
      <c r="F68" s="81">
        <f>(SUM(E13:E15))/2</f>
        <v>1798484.5</v>
      </c>
      <c r="G68" s="76"/>
      <c r="H68" s="76"/>
      <c r="I68" s="76"/>
      <c r="J68" s="78">
        <v>1.018E-2</v>
      </c>
      <c r="K68" s="79">
        <f>F68*J68</f>
        <v>18308.572209999998</v>
      </c>
      <c r="L68" s="80">
        <f t="shared" si="6"/>
        <v>22519.543818299997</v>
      </c>
      <c r="N68" s="3"/>
    </row>
    <row r="69" spans="1:14" ht="15" customHeight="1" x14ac:dyDescent="0.3">
      <c r="A69" s="87"/>
      <c r="B69" s="74" t="s">
        <v>15</v>
      </c>
      <c r="C69" s="154" t="s">
        <v>58</v>
      </c>
      <c r="D69" s="155"/>
      <c r="E69" s="82" t="s">
        <v>51</v>
      </c>
      <c r="F69" s="81">
        <f>E13/2</f>
        <v>297327.09999999998</v>
      </c>
      <c r="G69" s="76"/>
      <c r="H69" s="76"/>
      <c r="I69" s="76"/>
      <c r="J69" s="78">
        <v>5.3429999999999998E-2</v>
      </c>
      <c r="K69" s="79">
        <f>F69*J69</f>
        <v>15886.186952999999</v>
      </c>
      <c r="L69" s="80">
        <f t="shared" si="6"/>
        <v>19540.009952189997</v>
      </c>
      <c r="N69" s="3"/>
    </row>
    <row r="70" spans="1:14" ht="15" customHeight="1" x14ac:dyDescent="0.3">
      <c r="A70" s="87"/>
      <c r="B70" s="74" t="s">
        <v>17</v>
      </c>
      <c r="C70" s="154" t="s">
        <v>59</v>
      </c>
      <c r="D70" s="155"/>
      <c r="E70" s="82" t="s">
        <v>51</v>
      </c>
      <c r="F70" s="81">
        <f>E14/2</f>
        <v>329896.95</v>
      </c>
      <c r="G70" s="76"/>
      <c r="H70" s="76"/>
      <c r="I70" s="76"/>
      <c r="J70" s="78">
        <v>6.5720000000000001E-2</v>
      </c>
      <c r="K70" s="79">
        <f>F70*J70</f>
        <v>21680.827554</v>
      </c>
      <c r="L70" s="80">
        <f t="shared" si="6"/>
        <v>26667.417891419998</v>
      </c>
      <c r="N70" s="3"/>
    </row>
    <row r="71" spans="1:14" ht="15" customHeight="1" x14ac:dyDescent="0.3">
      <c r="A71" s="87"/>
      <c r="B71" s="74" t="s">
        <v>18</v>
      </c>
      <c r="C71" s="154" t="s">
        <v>60</v>
      </c>
      <c r="D71" s="155"/>
      <c r="E71" s="82" t="s">
        <v>51</v>
      </c>
      <c r="F71" s="81">
        <f>E15/2</f>
        <v>1171260.45</v>
      </c>
      <c r="G71" s="88"/>
      <c r="H71" s="76"/>
      <c r="I71" s="76"/>
      <c r="J71" s="78">
        <v>2.3650000000000001E-2</v>
      </c>
      <c r="K71" s="79">
        <f>F71*J71</f>
        <v>27700.3096425</v>
      </c>
      <c r="L71" s="80">
        <f t="shared" si="6"/>
        <v>34071.380860275</v>
      </c>
      <c r="N71" s="3"/>
    </row>
    <row r="72" spans="1:14" ht="15" customHeight="1" x14ac:dyDescent="0.3">
      <c r="A72" s="87"/>
      <c r="B72" s="74" t="s">
        <v>20</v>
      </c>
      <c r="C72" s="152" t="s">
        <v>53</v>
      </c>
      <c r="D72" s="153"/>
      <c r="E72" s="75" t="s">
        <v>49</v>
      </c>
      <c r="F72" s="76"/>
      <c r="G72" s="81">
        <f>G67</f>
        <v>873</v>
      </c>
      <c r="H72" s="77">
        <v>6</v>
      </c>
      <c r="I72" s="76"/>
      <c r="J72" s="78">
        <v>15.17</v>
      </c>
      <c r="K72" s="79">
        <f>J72*H72*G72</f>
        <v>79460.459999999992</v>
      </c>
      <c r="L72" s="80">
        <f t="shared" si="6"/>
        <v>97736.365799999985</v>
      </c>
      <c r="N72" s="3"/>
    </row>
    <row r="73" spans="1:14" ht="15" customHeight="1" x14ac:dyDescent="0.3">
      <c r="A73" s="87"/>
      <c r="B73" s="74" t="s">
        <v>21</v>
      </c>
      <c r="C73" s="152" t="s">
        <v>127</v>
      </c>
      <c r="D73" s="153"/>
      <c r="E73" s="82" t="s">
        <v>51</v>
      </c>
      <c r="F73" s="81">
        <f>F68</f>
        <v>1798484.5</v>
      </c>
      <c r="G73" s="76"/>
      <c r="H73" s="76"/>
      <c r="I73" s="76"/>
      <c r="J73" s="78">
        <v>0</v>
      </c>
      <c r="K73" s="79">
        <f>F73*J73</f>
        <v>0</v>
      </c>
      <c r="L73" s="80">
        <f t="shared" si="6"/>
        <v>0</v>
      </c>
      <c r="N73" s="3"/>
    </row>
    <row r="74" spans="1:14" ht="15" customHeight="1" x14ac:dyDescent="0.3">
      <c r="A74" s="71"/>
      <c r="B74" s="74" t="s">
        <v>83</v>
      </c>
      <c r="C74" s="156" t="s">
        <v>54</v>
      </c>
      <c r="D74" s="157"/>
      <c r="E74" s="75" t="s">
        <v>51</v>
      </c>
      <c r="F74" s="81">
        <f>F68</f>
        <v>1798484.5</v>
      </c>
      <c r="G74" s="76"/>
      <c r="H74" s="76"/>
      <c r="I74" s="76"/>
      <c r="J74" s="78">
        <v>2.2000000000000001E-3</v>
      </c>
      <c r="K74" s="79">
        <f>F74*J74</f>
        <v>3956.6659000000004</v>
      </c>
      <c r="L74" s="80">
        <f t="shared" si="6"/>
        <v>4866.6990570000007</v>
      </c>
      <c r="N74" s="3"/>
    </row>
    <row r="75" spans="1:14" ht="15" customHeight="1" x14ac:dyDescent="0.3">
      <c r="B75" s="131" t="s">
        <v>84</v>
      </c>
      <c r="C75" s="156" t="s">
        <v>156</v>
      </c>
      <c r="D75" s="157"/>
      <c r="E75" s="75" t="s">
        <v>51</v>
      </c>
      <c r="F75" s="81">
        <f>F68*0.5</f>
        <v>899242.25</v>
      </c>
      <c r="G75" s="76"/>
      <c r="H75" s="76"/>
      <c r="I75" s="76"/>
      <c r="J75" s="78">
        <v>7.6200000000000004E-2</v>
      </c>
      <c r="K75" s="79">
        <f>F75*J75</f>
        <v>68522.259449999998</v>
      </c>
      <c r="L75" s="80">
        <f t="shared" si="6"/>
        <v>84282.379123499995</v>
      </c>
      <c r="N75" s="3"/>
    </row>
    <row r="76" spans="1:14" ht="27.6" customHeight="1" thickBot="1" x14ac:dyDescent="0.35">
      <c r="A76" s="87"/>
      <c r="B76" s="83">
        <v>2</v>
      </c>
      <c r="C76" s="158" t="s">
        <v>129</v>
      </c>
      <c r="D76" s="159"/>
      <c r="E76" s="159"/>
      <c r="F76" s="159"/>
      <c r="G76" s="159"/>
      <c r="H76" s="159"/>
      <c r="I76" s="159"/>
      <c r="J76" s="159"/>
      <c r="K76" s="160"/>
      <c r="L76" s="84">
        <f>SUM(L66:L75)</f>
        <v>291276.91710268497</v>
      </c>
      <c r="N76" s="3"/>
    </row>
    <row r="77" spans="1:14" ht="40.950000000000003" customHeight="1" x14ac:dyDescent="0.3">
      <c r="A77" s="87"/>
      <c r="B77" s="85"/>
      <c r="C77" s="174" t="s">
        <v>102</v>
      </c>
      <c r="D77" s="175"/>
      <c r="E77" s="175"/>
      <c r="F77" s="175"/>
      <c r="G77" s="175"/>
      <c r="H77" s="175"/>
      <c r="I77" s="175"/>
      <c r="J77" s="175"/>
      <c r="K77" s="176"/>
      <c r="L77" s="86"/>
      <c r="N77" s="3"/>
    </row>
    <row r="78" spans="1:14" x14ac:dyDescent="0.3">
      <c r="A78" s="87"/>
      <c r="B78" s="74" t="s">
        <v>8</v>
      </c>
      <c r="C78" s="152" t="s">
        <v>46</v>
      </c>
      <c r="D78" s="153"/>
      <c r="E78" s="75" t="s">
        <v>47</v>
      </c>
      <c r="F78" s="76"/>
      <c r="G78" s="76"/>
      <c r="H78" s="77">
        <v>6</v>
      </c>
      <c r="I78" s="141">
        <v>5</v>
      </c>
      <c r="J78" s="78">
        <v>10</v>
      </c>
      <c r="K78" s="79">
        <f>H78*I78*J78</f>
        <v>300</v>
      </c>
      <c r="L78" s="80">
        <f t="shared" ref="L78:L87" si="7">K78*1.23</f>
        <v>369</v>
      </c>
      <c r="N78" s="3"/>
    </row>
    <row r="79" spans="1:14" ht="15" customHeight="1" x14ac:dyDescent="0.3">
      <c r="A79" s="87"/>
      <c r="B79" s="74" t="s">
        <v>11</v>
      </c>
      <c r="C79" s="152" t="s">
        <v>48</v>
      </c>
      <c r="D79" s="153"/>
      <c r="E79" s="75" t="s">
        <v>49</v>
      </c>
      <c r="F79" s="76"/>
      <c r="G79" s="140">
        <v>873</v>
      </c>
      <c r="H79" s="77">
        <v>6</v>
      </c>
      <c r="I79" s="76"/>
      <c r="J79" s="78">
        <v>0.19</v>
      </c>
      <c r="K79" s="79">
        <f>G79*H79*J79</f>
        <v>995.22</v>
      </c>
      <c r="L79" s="80">
        <f t="shared" si="7"/>
        <v>1224.1206</v>
      </c>
      <c r="N79" s="3"/>
    </row>
    <row r="80" spans="1:14" ht="15" customHeight="1" x14ac:dyDescent="0.3">
      <c r="A80" s="87"/>
      <c r="B80" s="74" t="s">
        <v>13</v>
      </c>
      <c r="C80" s="152" t="s">
        <v>50</v>
      </c>
      <c r="D80" s="153"/>
      <c r="E80" s="75" t="s">
        <v>51</v>
      </c>
      <c r="F80" s="81">
        <f>SUM(F81:F83)</f>
        <v>1798484.5</v>
      </c>
      <c r="G80" s="76"/>
      <c r="H80" s="76"/>
      <c r="I80" s="76"/>
      <c r="J80" s="78">
        <v>1.018E-2</v>
      </c>
      <c r="K80" s="79">
        <f>F80*J80</f>
        <v>18308.572209999998</v>
      </c>
      <c r="L80" s="80">
        <f t="shared" si="7"/>
        <v>22519.543818299997</v>
      </c>
      <c r="N80" s="3"/>
    </row>
    <row r="81" spans="1:14" ht="15" customHeight="1" x14ac:dyDescent="0.3">
      <c r="A81" s="87"/>
      <c r="B81" s="74" t="s">
        <v>15</v>
      </c>
      <c r="C81" s="154" t="s">
        <v>58</v>
      </c>
      <c r="D81" s="155"/>
      <c r="E81" s="82" t="s">
        <v>51</v>
      </c>
      <c r="F81" s="81">
        <f>F69</f>
        <v>297327.09999999998</v>
      </c>
      <c r="G81" s="76"/>
      <c r="H81" s="76"/>
      <c r="I81" s="76"/>
      <c r="J81" s="78">
        <v>5.2900000000000003E-2</v>
      </c>
      <c r="K81" s="79">
        <f>F81*J81</f>
        <v>15728.603589999999</v>
      </c>
      <c r="L81" s="80">
        <f t="shared" si="7"/>
        <v>19346.182415699997</v>
      </c>
      <c r="N81" s="3"/>
    </row>
    <row r="82" spans="1:14" ht="15" customHeight="1" x14ac:dyDescent="0.3">
      <c r="A82" s="87"/>
      <c r="B82" s="74" t="s">
        <v>17</v>
      </c>
      <c r="C82" s="154" t="s">
        <v>59</v>
      </c>
      <c r="D82" s="155"/>
      <c r="E82" s="82" t="s">
        <v>51</v>
      </c>
      <c r="F82" s="81">
        <f>F70</f>
        <v>329896.95</v>
      </c>
      <c r="G82" s="76"/>
      <c r="H82" s="76"/>
      <c r="I82" s="76"/>
      <c r="J82" s="78">
        <v>6.565E-2</v>
      </c>
      <c r="K82" s="79">
        <f>F82*J82</f>
        <v>21657.734767500002</v>
      </c>
      <c r="L82" s="80">
        <f t="shared" si="7"/>
        <v>26639.013764025003</v>
      </c>
      <c r="N82" s="3"/>
    </row>
    <row r="83" spans="1:14" ht="15" customHeight="1" x14ac:dyDescent="0.3">
      <c r="A83" s="87"/>
      <c r="B83" s="74" t="s">
        <v>18</v>
      </c>
      <c r="C83" s="154" t="s">
        <v>60</v>
      </c>
      <c r="D83" s="155"/>
      <c r="E83" s="82" t="s">
        <v>51</v>
      </c>
      <c r="F83" s="81">
        <f>F71</f>
        <v>1171260.45</v>
      </c>
      <c r="G83" s="88"/>
      <c r="H83" s="76"/>
      <c r="I83" s="76"/>
      <c r="J83" s="78">
        <v>1.9810000000000001E-2</v>
      </c>
      <c r="K83" s="79">
        <f>F83*J83</f>
        <v>23202.669514500001</v>
      </c>
      <c r="L83" s="80">
        <f t="shared" si="7"/>
        <v>28539.283502835002</v>
      </c>
      <c r="N83" s="3"/>
    </row>
    <row r="84" spans="1:14" ht="15" customHeight="1" x14ac:dyDescent="0.3">
      <c r="A84" s="87"/>
      <c r="B84" s="74" t="s">
        <v>20</v>
      </c>
      <c r="C84" s="152" t="s">
        <v>53</v>
      </c>
      <c r="D84" s="153"/>
      <c r="E84" s="75" t="s">
        <v>49</v>
      </c>
      <c r="F84" s="76"/>
      <c r="G84" s="81">
        <f>G79</f>
        <v>873</v>
      </c>
      <c r="H84" s="77">
        <v>6</v>
      </c>
      <c r="I84" s="76"/>
      <c r="J84" s="78">
        <v>15.17</v>
      </c>
      <c r="K84" s="79">
        <f>J84*H84*G84</f>
        <v>79460.459999999992</v>
      </c>
      <c r="L84" s="80">
        <f t="shared" si="7"/>
        <v>97736.365799999985</v>
      </c>
      <c r="N84" s="3"/>
    </row>
    <row r="85" spans="1:14" ht="15" customHeight="1" x14ac:dyDescent="0.3">
      <c r="A85" s="87"/>
      <c r="B85" s="74" t="s">
        <v>21</v>
      </c>
      <c r="C85" s="152" t="s">
        <v>127</v>
      </c>
      <c r="D85" s="153"/>
      <c r="E85" s="82" t="s">
        <v>51</v>
      </c>
      <c r="F85" s="81">
        <f>F80</f>
        <v>1798484.5</v>
      </c>
      <c r="G85" s="76"/>
      <c r="H85" s="76"/>
      <c r="I85" s="76"/>
      <c r="J85" s="78">
        <v>0</v>
      </c>
      <c r="K85" s="79">
        <f>F85*J85</f>
        <v>0</v>
      </c>
      <c r="L85" s="80">
        <f t="shared" si="7"/>
        <v>0</v>
      </c>
      <c r="N85" s="3"/>
    </row>
    <row r="86" spans="1:14" ht="15" customHeight="1" x14ac:dyDescent="0.3">
      <c r="A86" s="71"/>
      <c r="B86" s="74" t="s">
        <v>83</v>
      </c>
      <c r="C86" s="156" t="s">
        <v>54</v>
      </c>
      <c r="D86" s="157"/>
      <c r="E86" s="75" t="s">
        <v>51</v>
      </c>
      <c r="F86" s="81">
        <f>F80</f>
        <v>1798484.5</v>
      </c>
      <c r="G86" s="76"/>
      <c r="H86" s="76"/>
      <c r="I86" s="76"/>
      <c r="J86" s="78">
        <v>2.2000000000000001E-3</v>
      </c>
      <c r="K86" s="79">
        <f>F86*J86</f>
        <v>3956.6659000000004</v>
      </c>
      <c r="L86" s="80">
        <f t="shared" si="7"/>
        <v>4866.6990570000007</v>
      </c>
      <c r="N86" s="3"/>
    </row>
    <row r="87" spans="1:14" ht="15" customHeight="1" x14ac:dyDescent="0.3">
      <c r="B87" s="131" t="s">
        <v>84</v>
      </c>
      <c r="C87" s="156" t="s">
        <v>156</v>
      </c>
      <c r="D87" s="157"/>
      <c r="E87" s="75" t="s">
        <v>51</v>
      </c>
      <c r="F87" s="81">
        <f>F80*0.5</f>
        <v>899242.25</v>
      </c>
      <c r="G87" s="76"/>
      <c r="H87" s="76"/>
      <c r="I87" s="76"/>
      <c r="J87" s="78">
        <v>7.6200000000000004E-2</v>
      </c>
      <c r="K87" s="79">
        <f>F87*J87</f>
        <v>68522.259449999998</v>
      </c>
      <c r="L87" s="80">
        <f t="shared" si="7"/>
        <v>84282.379123499995</v>
      </c>
      <c r="N87" s="3"/>
    </row>
    <row r="88" spans="1:14" ht="26.4" customHeight="1" thickBot="1" x14ac:dyDescent="0.35">
      <c r="A88" s="87"/>
      <c r="B88" s="83">
        <v>3</v>
      </c>
      <c r="C88" s="158" t="s">
        <v>130</v>
      </c>
      <c r="D88" s="159"/>
      <c r="E88" s="159"/>
      <c r="F88" s="159"/>
      <c r="G88" s="159"/>
      <c r="H88" s="159"/>
      <c r="I88" s="159"/>
      <c r="J88" s="159"/>
      <c r="K88" s="160"/>
      <c r="L88" s="84">
        <f>SUM(L78:L87)</f>
        <v>285522.58808135998</v>
      </c>
      <c r="N88" s="3"/>
    </row>
    <row r="89" spans="1:14" ht="42.6" customHeight="1" x14ac:dyDescent="0.3">
      <c r="A89" s="87"/>
      <c r="B89" s="85"/>
      <c r="C89" s="174" t="s">
        <v>61</v>
      </c>
      <c r="D89" s="175"/>
      <c r="E89" s="175"/>
      <c r="F89" s="175"/>
      <c r="G89" s="175"/>
      <c r="H89" s="175"/>
      <c r="I89" s="175"/>
      <c r="J89" s="175"/>
      <c r="K89" s="176"/>
      <c r="L89" s="86"/>
      <c r="N89" s="3"/>
    </row>
    <row r="90" spans="1:14" x14ac:dyDescent="0.3">
      <c r="A90" s="87"/>
      <c r="B90" s="74" t="s">
        <v>8</v>
      </c>
      <c r="C90" s="152" t="s">
        <v>46</v>
      </c>
      <c r="D90" s="153"/>
      <c r="E90" s="75" t="s">
        <v>47</v>
      </c>
      <c r="F90" s="76"/>
      <c r="G90" s="76"/>
      <c r="H90" s="77">
        <v>12</v>
      </c>
      <c r="I90" s="141">
        <f>70+7</f>
        <v>77</v>
      </c>
      <c r="J90" s="78">
        <v>5</v>
      </c>
      <c r="K90" s="79">
        <f>H90*I90*J90</f>
        <v>4620</v>
      </c>
      <c r="L90" s="80">
        <f t="shared" ref="L90:L97" si="8">K90*1.23</f>
        <v>5682.6</v>
      </c>
      <c r="N90" s="3"/>
    </row>
    <row r="91" spans="1:14" ht="15" customHeight="1" x14ac:dyDescent="0.3">
      <c r="A91" s="87"/>
      <c r="B91" s="74" t="s">
        <v>11</v>
      </c>
      <c r="C91" s="152" t="s">
        <v>48</v>
      </c>
      <c r="D91" s="153"/>
      <c r="E91" s="75" t="s">
        <v>49</v>
      </c>
      <c r="F91" s="76"/>
      <c r="G91" s="140">
        <f>4005+342</f>
        <v>4347</v>
      </c>
      <c r="H91" s="77">
        <v>12</v>
      </c>
      <c r="I91" s="76"/>
      <c r="J91" s="78">
        <v>0.08</v>
      </c>
      <c r="K91" s="79">
        <f>G91*H91*J91</f>
        <v>4173.12</v>
      </c>
      <c r="L91" s="80">
        <f t="shared" si="8"/>
        <v>5132.9376000000002</v>
      </c>
      <c r="N91" s="3"/>
    </row>
    <row r="92" spans="1:14" ht="15" customHeight="1" x14ac:dyDescent="0.3">
      <c r="A92" s="87"/>
      <c r="B92" s="74" t="s">
        <v>13</v>
      </c>
      <c r="C92" s="152" t="s">
        <v>50</v>
      </c>
      <c r="D92" s="153"/>
      <c r="E92" s="75" t="s">
        <v>51</v>
      </c>
      <c r="F92" s="81">
        <f>E16</f>
        <v>7538626.7000000002</v>
      </c>
      <c r="G92" s="76"/>
      <c r="H92" s="76"/>
      <c r="I92" s="76"/>
      <c r="J92" s="78">
        <v>1.0200000000000001E-2</v>
      </c>
      <c r="K92" s="79">
        <f>F92*J92</f>
        <v>76893.992340000012</v>
      </c>
      <c r="L92" s="80">
        <f t="shared" si="8"/>
        <v>94579.610578200009</v>
      </c>
      <c r="N92" s="3"/>
    </row>
    <row r="93" spans="1:14" ht="15" customHeight="1" x14ac:dyDescent="0.3">
      <c r="A93" s="87"/>
      <c r="B93" s="74" t="s">
        <v>15</v>
      </c>
      <c r="C93" s="154" t="s">
        <v>52</v>
      </c>
      <c r="D93" s="155"/>
      <c r="E93" s="82" t="s">
        <v>51</v>
      </c>
      <c r="F93" s="81">
        <f>F92</f>
        <v>7538626.7000000002</v>
      </c>
      <c r="G93" s="76"/>
      <c r="H93" s="76"/>
      <c r="I93" s="76"/>
      <c r="J93" s="78">
        <v>0.1835</v>
      </c>
      <c r="K93" s="79">
        <f>J93*F93</f>
        <v>1383337.99945</v>
      </c>
      <c r="L93" s="80">
        <f t="shared" si="8"/>
        <v>1701505.7393235001</v>
      </c>
      <c r="N93" s="3"/>
    </row>
    <row r="94" spans="1:14" ht="15" customHeight="1" x14ac:dyDescent="0.3">
      <c r="A94" s="87"/>
      <c r="B94" s="74" t="s">
        <v>17</v>
      </c>
      <c r="C94" s="152" t="s">
        <v>53</v>
      </c>
      <c r="D94" s="153"/>
      <c r="E94" s="75" t="s">
        <v>49</v>
      </c>
      <c r="F94" s="76"/>
      <c r="G94" s="81">
        <f>G91</f>
        <v>4347</v>
      </c>
      <c r="H94" s="77">
        <v>12</v>
      </c>
      <c r="I94" s="76"/>
      <c r="J94" s="78">
        <v>21.12</v>
      </c>
      <c r="K94" s="79">
        <f>J94*H94*G94</f>
        <v>1101703.6799999999</v>
      </c>
      <c r="L94" s="80">
        <f t="shared" si="8"/>
        <v>1355095.5263999999</v>
      </c>
      <c r="N94" s="3"/>
    </row>
    <row r="95" spans="1:14" ht="15" customHeight="1" x14ac:dyDescent="0.3">
      <c r="A95" s="87"/>
      <c r="B95" s="74" t="s">
        <v>18</v>
      </c>
      <c r="C95" s="152" t="s">
        <v>127</v>
      </c>
      <c r="D95" s="153"/>
      <c r="E95" s="82" t="s">
        <v>51</v>
      </c>
      <c r="F95" s="81">
        <f>F92</f>
        <v>7538626.7000000002</v>
      </c>
      <c r="G95" s="76"/>
      <c r="H95" s="76"/>
      <c r="I95" s="76"/>
      <c r="J95" s="78">
        <v>0</v>
      </c>
      <c r="K95" s="79">
        <f>F95*J95</f>
        <v>0</v>
      </c>
      <c r="L95" s="80">
        <f t="shared" si="8"/>
        <v>0</v>
      </c>
      <c r="N95" s="3"/>
    </row>
    <row r="96" spans="1:14" ht="15" customHeight="1" x14ac:dyDescent="0.3">
      <c r="A96" s="71"/>
      <c r="B96" s="74" t="s">
        <v>20</v>
      </c>
      <c r="C96" s="156" t="s">
        <v>54</v>
      </c>
      <c r="D96" s="157"/>
      <c r="E96" s="75" t="s">
        <v>51</v>
      </c>
      <c r="F96" s="81">
        <f>F92</f>
        <v>7538626.7000000002</v>
      </c>
      <c r="G96" s="76"/>
      <c r="H96" s="76"/>
      <c r="I96" s="76"/>
      <c r="J96" s="78">
        <v>2.2000000000000001E-3</v>
      </c>
      <c r="K96" s="79">
        <f>F96*J96</f>
        <v>16584.978740000002</v>
      </c>
      <c r="L96" s="80">
        <f t="shared" si="8"/>
        <v>20399.523850200003</v>
      </c>
      <c r="N96" s="3"/>
    </row>
    <row r="97" spans="1:14" ht="15" customHeight="1" x14ac:dyDescent="0.3">
      <c r="B97" s="131" t="s">
        <v>21</v>
      </c>
      <c r="C97" s="156" t="s">
        <v>156</v>
      </c>
      <c r="D97" s="157"/>
      <c r="E97" s="75" t="s">
        <v>51</v>
      </c>
      <c r="F97" s="81">
        <f>F92*0.65</f>
        <v>4900107.3550000004</v>
      </c>
      <c r="G97" s="76"/>
      <c r="H97" s="76"/>
      <c r="I97" s="76"/>
      <c r="J97" s="78">
        <v>7.6200000000000004E-2</v>
      </c>
      <c r="K97" s="79">
        <f>F97*J97</f>
        <v>373388.18045100005</v>
      </c>
      <c r="L97" s="80">
        <f t="shared" si="8"/>
        <v>459267.46195473004</v>
      </c>
      <c r="N97" s="3"/>
    </row>
    <row r="98" spans="1:14" ht="27" customHeight="1" thickBot="1" x14ac:dyDescent="0.35">
      <c r="A98" s="87"/>
      <c r="B98" s="83">
        <v>4</v>
      </c>
      <c r="C98" s="158" t="s">
        <v>131</v>
      </c>
      <c r="D98" s="159"/>
      <c r="E98" s="159"/>
      <c r="F98" s="159"/>
      <c r="G98" s="159"/>
      <c r="H98" s="159"/>
      <c r="I98" s="159"/>
      <c r="J98" s="159"/>
      <c r="K98" s="160"/>
      <c r="L98" s="84">
        <f>SUM(L90:L97)</f>
        <v>3641663.39970663</v>
      </c>
      <c r="N98" s="3"/>
    </row>
    <row r="99" spans="1:14" ht="45" customHeight="1" x14ac:dyDescent="0.3">
      <c r="A99" s="87"/>
      <c r="B99" s="85"/>
      <c r="C99" s="174" t="s">
        <v>62</v>
      </c>
      <c r="D99" s="175"/>
      <c r="E99" s="175"/>
      <c r="F99" s="175"/>
      <c r="G99" s="175"/>
      <c r="H99" s="175"/>
      <c r="I99" s="175"/>
      <c r="J99" s="175"/>
      <c r="K99" s="176"/>
      <c r="L99" s="86"/>
      <c r="N99" s="3"/>
    </row>
    <row r="100" spans="1:14" x14ac:dyDescent="0.3">
      <c r="A100" s="87"/>
      <c r="B100" s="74" t="s">
        <v>8</v>
      </c>
      <c r="C100" s="152" t="s">
        <v>46</v>
      </c>
      <c r="D100" s="153"/>
      <c r="E100" s="75" t="s">
        <v>47</v>
      </c>
      <c r="F100" s="76"/>
      <c r="G100" s="76"/>
      <c r="H100" s="77">
        <v>12</v>
      </c>
      <c r="I100" s="141">
        <f>14+1</f>
        <v>15</v>
      </c>
      <c r="J100" s="78">
        <v>5</v>
      </c>
      <c r="K100" s="79">
        <f>H100*I100*J100</f>
        <v>900</v>
      </c>
      <c r="L100" s="80">
        <f t="shared" ref="L100:L108" si="9">K100*1.23</f>
        <v>1107</v>
      </c>
      <c r="N100" s="3"/>
    </row>
    <row r="101" spans="1:14" ht="15" customHeight="1" x14ac:dyDescent="0.3">
      <c r="A101" s="87"/>
      <c r="B101" s="74" t="s">
        <v>11</v>
      </c>
      <c r="C101" s="152" t="s">
        <v>48</v>
      </c>
      <c r="D101" s="153"/>
      <c r="E101" s="75" t="s">
        <v>49</v>
      </c>
      <c r="F101" s="76"/>
      <c r="G101" s="140">
        <f>641+48</f>
        <v>689</v>
      </c>
      <c r="H101" s="77">
        <v>12</v>
      </c>
      <c r="I101" s="76"/>
      <c r="J101" s="78">
        <v>0.08</v>
      </c>
      <c r="K101" s="79">
        <f>G101*H101*J101</f>
        <v>661.44</v>
      </c>
      <c r="L101" s="80">
        <f t="shared" si="9"/>
        <v>813.57120000000009</v>
      </c>
      <c r="N101" s="3"/>
    </row>
    <row r="102" spans="1:14" ht="15" customHeight="1" x14ac:dyDescent="0.3">
      <c r="A102" s="87"/>
      <c r="B102" s="74" t="s">
        <v>13</v>
      </c>
      <c r="C102" s="152" t="s">
        <v>50</v>
      </c>
      <c r="D102" s="153"/>
      <c r="E102" s="75" t="s">
        <v>51</v>
      </c>
      <c r="F102" s="81">
        <f>SUM(E17:E18)</f>
        <v>1396868</v>
      </c>
      <c r="G102" s="76"/>
      <c r="H102" s="76"/>
      <c r="I102" s="76"/>
      <c r="J102" s="78">
        <v>1.0200000000000001E-2</v>
      </c>
      <c r="K102" s="79">
        <f>F102*J102</f>
        <v>14248.053600000001</v>
      </c>
      <c r="L102" s="80">
        <f t="shared" si="9"/>
        <v>17525.105928000001</v>
      </c>
      <c r="N102" s="3"/>
    </row>
    <row r="103" spans="1:14" ht="15" customHeight="1" x14ac:dyDescent="0.3">
      <c r="A103" s="87"/>
      <c r="B103" s="74" t="s">
        <v>15</v>
      </c>
      <c r="C103" s="154" t="s">
        <v>55</v>
      </c>
      <c r="D103" s="155"/>
      <c r="E103" s="82" t="s">
        <v>51</v>
      </c>
      <c r="F103" s="81">
        <f>E17</f>
        <v>528317</v>
      </c>
      <c r="G103" s="76"/>
      <c r="H103" s="76"/>
      <c r="I103" s="76"/>
      <c r="J103" s="78">
        <v>0.21590000000000001</v>
      </c>
      <c r="K103" s="79">
        <f>F103*J103</f>
        <v>114063.6403</v>
      </c>
      <c r="L103" s="80">
        <f t="shared" si="9"/>
        <v>140298.277569</v>
      </c>
      <c r="N103" s="3"/>
    </row>
    <row r="104" spans="1:14" ht="15" customHeight="1" x14ac:dyDescent="0.3">
      <c r="A104" s="87"/>
      <c r="B104" s="74" t="s">
        <v>17</v>
      </c>
      <c r="C104" s="154" t="s">
        <v>56</v>
      </c>
      <c r="D104" s="155"/>
      <c r="E104" s="82" t="s">
        <v>51</v>
      </c>
      <c r="F104" s="81">
        <f>E18</f>
        <v>868551</v>
      </c>
      <c r="G104" s="76"/>
      <c r="H104" s="76"/>
      <c r="I104" s="76"/>
      <c r="J104" s="78">
        <v>0.1472</v>
      </c>
      <c r="K104" s="79">
        <f>F104*J104</f>
        <v>127850.7072</v>
      </c>
      <c r="L104" s="80">
        <f t="shared" si="9"/>
        <v>157256.369856</v>
      </c>
      <c r="N104" s="3"/>
    </row>
    <row r="105" spans="1:14" ht="15" customHeight="1" x14ac:dyDescent="0.3">
      <c r="A105" s="87"/>
      <c r="B105" s="74" t="s">
        <v>18</v>
      </c>
      <c r="C105" s="152" t="s">
        <v>53</v>
      </c>
      <c r="D105" s="153"/>
      <c r="E105" s="75" t="s">
        <v>49</v>
      </c>
      <c r="F105" s="76"/>
      <c r="G105" s="81">
        <f>G101</f>
        <v>689</v>
      </c>
      <c r="H105" s="77">
        <v>12</v>
      </c>
      <c r="I105" s="76"/>
      <c r="J105" s="78">
        <v>21.12</v>
      </c>
      <c r="K105" s="79">
        <f>J105*H105*G105</f>
        <v>174620.16</v>
      </c>
      <c r="L105" s="80">
        <f t="shared" si="9"/>
        <v>214782.79680000001</v>
      </c>
      <c r="N105" s="3"/>
    </row>
    <row r="106" spans="1:14" ht="15" customHeight="1" x14ac:dyDescent="0.3">
      <c r="A106" s="87"/>
      <c r="B106" s="74" t="s">
        <v>20</v>
      </c>
      <c r="C106" s="152" t="s">
        <v>127</v>
      </c>
      <c r="D106" s="153"/>
      <c r="E106" s="82" t="s">
        <v>51</v>
      </c>
      <c r="F106" s="81">
        <f>F102</f>
        <v>1396868</v>
      </c>
      <c r="G106" s="76"/>
      <c r="H106" s="76"/>
      <c r="I106" s="76"/>
      <c r="J106" s="78">
        <v>0</v>
      </c>
      <c r="K106" s="79">
        <f>F106*J106</f>
        <v>0</v>
      </c>
      <c r="L106" s="80">
        <f t="shared" si="9"/>
        <v>0</v>
      </c>
      <c r="N106" s="3"/>
    </row>
    <row r="107" spans="1:14" ht="15" customHeight="1" x14ac:dyDescent="0.3">
      <c r="A107" s="71"/>
      <c r="B107" s="74" t="s">
        <v>21</v>
      </c>
      <c r="C107" s="156" t="s">
        <v>54</v>
      </c>
      <c r="D107" s="157"/>
      <c r="E107" s="75" t="s">
        <v>51</v>
      </c>
      <c r="F107" s="81">
        <f>F102</f>
        <v>1396868</v>
      </c>
      <c r="G107" s="76"/>
      <c r="H107" s="76"/>
      <c r="I107" s="76"/>
      <c r="J107" s="78">
        <v>2.2000000000000001E-3</v>
      </c>
      <c r="K107" s="79">
        <f>F107*J107</f>
        <v>3073.1096000000002</v>
      </c>
      <c r="L107" s="80">
        <f t="shared" si="9"/>
        <v>3779.9248080000002</v>
      </c>
      <c r="N107" s="3"/>
    </row>
    <row r="108" spans="1:14" ht="15" customHeight="1" x14ac:dyDescent="0.3">
      <c r="B108" s="131" t="s">
        <v>83</v>
      </c>
      <c r="C108" s="156" t="s">
        <v>156</v>
      </c>
      <c r="D108" s="157"/>
      <c r="E108" s="75" t="s">
        <v>51</v>
      </c>
      <c r="F108" s="81">
        <f>F102*0.65</f>
        <v>907964.20000000007</v>
      </c>
      <c r="G108" s="76"/>
      <c r="H108" s="76"/>
      <c r="I108" s="76"/>
      <c r="J108" s="78">
        <v>7.6200000000000004E-2</v>
      </c>
      <c r="K108" s="79">
        <f>F108*J108</f>
        <v>69186.872040000002</v>
      </c>
      <c r="L108" s="80">
        <f t="shared" si="9"/>
        <v>85099.852609199996</v>
      </c>
      <c r="N108" s="3"/>
    </row>
    <row r="109" spans="1:14" ht="26.4" customHeight="1" thickBot="1" x14ac:dyDescent="0.35">
      <c r="A109" s="87"/>
      <c r="B109" s="83">
        <v>5</v>
      </c>
      <c r="C109" s="158" t="s">
        <v>132</v>
      </c>
      <c r="D109" s="159"/>
      <c r="E109" s="159"/>
      <c r="F109" s="159"/>
      <c r="G109" s="159"/>
      <c r="H109" s="159"/>
      <c r="I109" s="159"/>
      <c r="J109" s="159"/>
      <c r="K109" s="160"/>
      <c r="L109" s="84">
        <f>SUM(L100:L108)</f>
        <v>620662.89877020009</v>
      </c>
      <c r="N109" s="3"/>
    </row>
    <row r="110" spans="1:14" ht="43.2" customHeight="1" x14ac:dyDescent="0.3">
      <c r="A110" s="87"/>
      <c r="B110" s="85"/>
      <c r="C110" s="174" t="s">
        <v>63</v>
      </c>
      <c r="D110" s="175"/>
      <c r="E110" s="175"/>
      <c r="F110" s="175"/>
      <c r="G110" s="175"/>
      <c r="H110" s="175"/>
      <c r="I110" s="175"/>
      <c r="J110" s="175"/>
      <c r="K110" s="176"/>
      <c r="L110" s="86"/>
      <c r="N110" s="3"/>
    </row>
    <row r="111" spans="1:14" x14ac:dyDescent="0.3">
      <c r="A111" s="87"/>
      <c r="B111" s="74" t="s">
        <v>8</v>
      </c>
      <c r="C111" s="152" t="s">
        <v>46</v>
      </c>
      <c r="D111" s="153"/>
      <c r="E111" s="75" t="s">
        <v>47</v>
      </c>
      <c r="F111" s="76"/>
      <c r="G111" s="76"/>
      <c r="H111" s="77">
        <v>12</v>
      </c>
      <c r="I111" s="141">
        <f>17+1</f>
        <v>18</v>
      </c>
      <c r="J111" s="78">
        <v>5</v>
      </c>
      <c r="K111" s="79">
        <f>H111*I111*J111</f>
        <v>1080</v>
      </c>
      <c r="L111" s="80">
        <f t="shared" ref="L111:L119" si="10">K111*1.23</f>
        <v>1328.4</v>
      </c>
      <c r="N111" s="3"/>
    </row>
    <row r="112" spans="1:14" ht="15" customHeight="1" x14ac:dyDescent="0.3">
      <c r="A112" s="87"/>
      <c r="B112" s="74" t="s">
        <v>11</v>
      </c>
      <c r="C112" s="152" t="s">
        <v>48</v>
      </c>
      <c r="D112" s="153"/>
      <c r="E112" s="75" t="s">
        <v>49</v>
      </c>
      <c r="F112" s="76"/>
      <c r="G112" s="140">
        <f>1026.5+40</f>
        <v>1066.5</v>
      </c>
      <c r="H112" s="77">
        <v>12</v>
      </c>
      <c r="I112" s="76"/>
      <c r="J112" s="78">
        <v>0.08</v>
      </c>
      <c r="K112" s="79">
        <f>G112*H112*J112</f>
        <v>1023.84</v>
      </c>
      <c r="L112" s="80">
        <f t="shared" si="10"/>
        <v>1259.3232</v>
      </c>
      <c r="N112" s="3"/>
    </row>
    <row r="113" spans="1:14" ht="15" customHeight="1" x14ac:dyDescent="0.3">
      <c r="A113" s="87"/>
      <c r="B113" s="74" t="s">
        <v>13</v>
      </c>
      <c r="C113" s="152" t="s">
        <v>50</v>
      </c>
      <c r="D113" s="153"/>
      <c r="E113" s="75" t="s">
        <v>51</v>
      </c>
      <c r="F113" s="81">
        <f>SUM(E19:E20)</f>
        <v>2463314.6</v>
      </c>
      <c r="G113" s="76"/>
      <c r="H113" s="76"/>
      <c r="I113" s="76"/>
      <c r="J113" s="78">
        <v>1.0200000000000001E-2</v>
      </c>
      <c r="K113" s="79">
        <f>F113*J113</f>
        <v>25125.808920000003</v>
      </c>
      <c r="L113" s="80">
        <f t="shared" si="10"/>
        <v>30904.744971600005</v>
      </c>
      <c r="N113" s="3"/>
    </row>
    <row r="114" spans="1:14" ht="15" customHeight="1" x14ac:dyDescent="0.3">
      <c r="A114" s="87"/>
      <c r="B114" s="74" t="s">
        <v>15</v>
      </c>
      <c r="C114" s="154" t="s">
        <v>55</v>
      </c>
      <c r="D114" s="155"/>
      <c r="E114" s="82" t="s">
        <v>51</v>
      </c>
      <c r="F114" s="81">
        <f>E19</f>
        <v>1475400.2</v>
      </c>
      <c r="G114" s="76"/>
      <c r="H114" s="76"/>
      <c r="I114" s="76"/>
      <c r="J114" s="78">
        <v>0.18440000000000001</v>
      </c>
      <c r="K114" s="79">
        <f>F114*J114</f>
        <v>272063.79687999998</v>
      </c>
      <c r="L114" s="80">
        <f t="shared" si="10"/>
        <v>334638.47016239999</v>
      </c>
      <c r="N114" s="3"/>
    </row>
    <row r="115" spans="1:14" ht="15" customHeight="1" x14ac:dyDescent="0.3">
      <c r="A115" s="87"/>
      <c r="B115" s="74" t="s">
        <v>17</v>
      </c>
      <c r="C115" s="154" t="s">
        <v>56</v>
      </c>
      <c r="D115" s="155"/>
      <c r="E115" s="82" t="s">
        <v>51</v>
      </c>
      <c r="F115" s="81">
        <f>E20</f>
        <v>987914.4</v>
      </c>
      <c r="G115" s="76"/>
      <c r="H115" s="76"/>
      <c r="I115" s="76"/>
      <c r="J115" s="78">
        <v>8.2900000000000001E-2</v>
      </c>
      <c r="K115" s="79">
        <f>F115*J115</f>
        <v>81898.103759999998</v>
      </c>
      <c r="L115" s="80">
        <f t="shared" si="10"/>
        <v>100734.6676248</v>
      </c>
      <c r="N115" s="3"/>
    </row>
    <row r="116" spans="1:14" ht="15" customHeight="1" x14ac:dyDescent="0.3">
      <c r="A116" s="87"/>
      <c r="B116" s="74" t="s">
        <v>18</v>
      </c>
      <c r="C116" s="152" t="s">
        <v>53</v>
      </c>
      <c r="D116" s="153"/>
      <c r="E116" s="75" t="s">
        <v>49</v>
      </c>
      <c r="F116" s="76"/>
      <c r="G116" s="81">
        <f>G112</f>
        <v>1066.5</v>
      </c>
      <c r="H116" s="77">
        <v>12</v>
      </c>
      <c r="I116" s="76"/>
      <c r="J116" s="78">
        <v>21.12</v>
      </c>
      <c r="K116" s="79">
        <f>J116*H116*G116</f>
        <v>270293.76000000001</v>
      </c>
      <c r="L116" s="80">
        <f t="shared" si="10"/>
        <v>332461.3248</v>
      </c>
      <c r="N116" s="3"/>
    </row>
    <row r="117" spans="1:14" ht="15" customHeight="1" x14ac:dyDescent="0.3">
      <c r="A117" s="87"/>
      <c r="B117" s="74" t="s">
        <v>20</v>
      </c>
      <c r="C117" s="152" t="s">
        <v>127</v>
      </c>
      <c r="D117" s="153"/>
      <c r="E117" s="82" t="s">
        <v>51</v>
      </c>
      <c r="F117" s="81">
        <f>F118</f>
        <v>2463314.6</v>
      </c>
      <c r="G117" s="76"/>
      <c r="H117" s="76"/>
      <c r="I117" s="76"/>
      <c r="J117" s="78">
        <v>0</v>
      </c>
      <c r="K117" s="79">
        <f>F117*J117</f>
        <v>0</v>
      </c>
      <c r="L117" s="80">
        <f t="shared" si="10"/>
        <v>0</v>
      </c>
      <c r="N117" s="3"/>
    </row>
    <row r="118" spans="1:14" ht="15" customHeight="1" x14ac:dyDescent="0.3">
      <c r="A118" s="71"/>
      <c r="B118" s="74" t="s">
        <v>21</v>
      </c>
      <c r="C118" s="156" t="s">
        <v>54</v>
      </c>
      <c r="D118" s="157"/>
      <c r="E118" s="75" t="s">
        <v>51</v>
      </c>
      <c r="F118" s="81">
        <f>F113</f>
        <v>2463314.6</v>
      </c>
      <c r="G118" s="76"/>
      <c r="H118" s="76"/>
      <c r="I118" s="76"/>
      <c r="J118" s="78">
        <v>2.2000000000000001E-3</v>
      </c>
      <c r="K118" s="79">
        <f>F118*J118</f>
        <v>5419.292120000001</v>
      </c>
      <c r="L118" s="80">
        <f t="shared" si="10"/>
        <v>6665.7293076000014</v>
      </c>
      <c r="N118" s="3"/>
    </row>
    <row r="119" spans="1:14" ht="15" customHeight="1" x14ac:dyDescent="0.3">
      <c r="B119" s="131" t="s">
        <v>83</v>
      </c>
      <c r="C119" s="156" t="s">
        <v>156</v>
      </c>
      <c r="D119" s="157"/>
      <c r="E119" s="75" t="s">
        <v>51</v>
      </c>
      <c r="F119" s="81">
        <f>F113*0.65</f>
        <v>1601154.4900000002</v>
      </c>
      <c r="G119" s="76"/>
      <c r="H119" s="76"/>
      <c r="I119" s="76"/>
      <c r="J119" s="78">
        <v>7.6200000000000004E-2</v>
      </c>
      <c r="K119" s="79">
        <f>F119*J119</f>
        <v>122007.97213800003</v>
      </c>
      <c r="L119" s="80">
        <f t="shared" si="10"/>
        <v>150069.80572974004</v>
      </c>
      <c r="N119" s="3"/>
    </row>
    <row r="120" spans="1:14" ht="27" customHeight="1" thickBot="1" x14ac:dyDescent="0.35">
      <c r="A120" s="87"/>
      <c r="B120" s="83">
        <v>6</v>
      </c>
      <c r="C120" s="158" t="s">
        <v>133</v>
      </c>
      <c r="D120" s="159"/>
      <c r="E120" s="159"/>
      <c r="F120" s="159"/>
      <c r="G120" s="159"/>
      <c r="H120" s="159"/>
      <c r="I120" s="159"/>
      <c r="J120" s="159"/>
      <c r="K120" s="160"/>
      <c r="L120" s="84">
        <f>SUM(L111:L119)</f>
        <v>958062.46579614002</v>
      </c>
      <c r="N120" s="3"/>
    </row>
    <row r="121" spans="1:14" ht="46.95" customHeight="1" x14ac:dyDescent="0.3">
      <c r="A121" s="87"/>
      <c r="B121" s="85"/>
      <c r="C121" s="174" t="s">
        <v>64</v>
      </c>
      <c r="D121" s="175"/>
      <c r="E121" s="175"/>
      <c r="F121" s="175"/>
      <c r="G121" s="175"/>
      <c r="H121" s="175"/>
      <c r="I121" s="175"/>
      <c r="J121" s="175"/>
      <c r="K121" s="176"/>
      <c r="L121" s="86"/>
      <c r="N121" s="3"/>
    </row>
    <row r="122" spans="1:14" x14ac:dyDescent="0.3">
      <c r="A122" s="87"/>
      <c r="B122" s="74" t="s">
        <v>8</v>
      </c>
      <c r="C122" s="152" t="s">
        <v>46</v>
      </c>
      <c r="D122" s="153"/>
      <c r="E122" s="75" t="s">
        <v>47</v>
      </c>
      <c r="F122" s="76"/>
      <c r="G122" s="76"/>
      <c r="H122" s="77">
        <v>6</v>
      </c>
      <c r="I122" s="141">
        <v>6</v>
      </c>
      <c r="J122" s="78">
        <v>5</v>
      </c>
      <c r="K122" s="79">
        <f>H122*I122*J122</f>
        <v>180</v>
      </c>
      <c r="L122" s="80">
        <f t="shared" ref="L122:L131" si="11">K122*1.23</f>
        <v>221.4</v>
      </c>
      <c r="N122" s="3"/>
    </row>
    <row r="123" spans="1:14" ht="15" customHeight="1" x14ac:dyDescent="0.3">
      <c r="A123" s="87"/>
      <c r="B123" s="74" t="s">
        <v>11</v>
      </c>
      <c r="C123" s="152" t="s">
        <v>48</v>
      </c>
      <c r="D123" s="153"/>
      <c r="E123" s="75" t="s">
        <v>49</v>
      </c>
      <c r="F123" s="76"/>
      <c r="G123" s="140">
        <v>260</v>
      </c>
      <c r="H123" s="77">
        <v>6</v>
      </c>
      <c r="I123" s="76"/>
      <c r="J123" s="78">
        <v>0.08</v>
      </c>
      <c r="K123" s="79">
        <f>G123*H123*J123</f>
        <v>124.8</v>
      </c>
      <c r="L123" s="80">
        <f t="shared" si="11"/>
        <v>153.50399999999999</v>
      </c>
      <c r="N123" s="3"/>
    </row>
    <row r="124" spans="1:14" ht="15" customHeight="1" x14ac:dyDescent="0.3">
      <c r="A124" s="87"/>
      <c r="B124" s="74" t="s">
        <v>13</v>
      </c>
      <c r="C124" s="152" t="s">
        <v>50</v>
      </c>
      <c r="D124" s="153"/>
      <c r="E124" s="75" t="s">
        <v>51</v>
      </c>
      <c r="F124" s="81">
        <f>(SUM(E21:E23))/2</f>
        <v>268241.5</v>
      </c>
      <c r="G124" s="76"/>
      <c r="H124" s="76"/>
      <c r="I124" s="76"/>
      <c r="J124" s="78">
        <v>1.0200000000000001E-2</v>
      </c>
      <c r="K124" s="79">
        <f>F124*J124</f>
        <v>2736.0633000000003</v>
      </c>
      <c r="L124" s="80">
        <f t="shared" si="11"/>
        <v>3365.3578590000002</v>
      </c>
      <c r="N124" s="3"/>
    </row>
    <row r="125" spans="1:14" ht="15" customHeight="1" x14ac:dyDescent="0.3">
      <c r="A125" s="87"/>
      <c r="B125" s="74" t="s">
        <v>15</v>
      </c>
      <c r="C125" s="154" t="s">
        <v>58</v>
      </c>
      <c r="D125" s="155"/>
      <c r="E125" s="82" t="s">
        <v>51</v>
      </c>
      <c r="F125" s="81">
        <f>E21/2</f>
        <v>48159.5</v>
      </c>
      <c r="G125" s="76"/>
      <c r="H125" s="76"/>
      <c r="I125" s="76"/>
      <c r="J125" s="78">
        <v>0.19589999999999999</v>
      </c>
      <c r="K125" s="79">
        <f>F125*J125</f>
        <v>9434.4460499999986</v>
      </c>
      <c r="L125" s="80">
        <f t="shared" si="11"/>
        <v>11604.368641499997</v>
      </c>
      <c r="N125" s="3"/>
    </row>
    <row r="126" spans="1:14" ht="15" customHeight="1" x14ac:dyDescent="0.3">
      <c r="A126" s="87"/>
      <c r="B126" s="74" t="s">
        <v>17</v>
      </c>
      <c r="C126" s="154" t="s">
        <v>59</v>
      </c>
      <c r="D126" s="155"/>
      <c r="E126" s="82" t="s">
        <v>51</v>
      </c>
      <c r="F126" s="81">
        <f>E22/2</f>
        <v>84520.5</v>
      </c>
      <c r="G126" s="76"/>
      <c r="H126" s="76"/>
      <c r="I126" s="76"/>
      <c r="J126" s="78">
        <v>0.28410000000000002</v>
      </c>
      <c r="K126" s="79">
        <f>F126*J126</f>
        <v>24012.27405</v>
      </c>
      <c r="L126" s="80">
        <f t="shared" si="11"/>
        <v>29535.0970815</v>
      </c>
      <c r="N126" s="3"/>
    </row>
    <row r="127" spans="1:14" ht="15" customHeight="1" x14ac:dyDescent="0.3">
      <c r="A127" s="87"/>
      <c r="B127" s="74" t="s">
        <v>18</v>
      </c>
      <c r="C127" s="154" t="s">
        <v>60</v>
      </c>
      <c r="D127" s="155"/>
      <c r="E127" s="82" t="s">
        <v>51</v>
      </c>
      <c r="F127" s="81">
        <f>E23/2</f>
        <v>135561.5</v>
      </c>
      <c r="G127" s="88"/>
      <c r="H127" s="76"/>
      <c r="I127" s="76"/>
      <c r="J127" s="78">
        <v>6.9099999999999995E-2</v>
      </c>
      <c r="K127" s="79">
        <f>F127*J127</f>
        <v>9367.299649999999</v>
      </c>
      <c r="L127" s="80">
        <f t="shared" si="11"/>
        <v>11521.778569499998</v>
      </c>
      <c r="N127" s="3"/>
    </row>
    <row r="128" spans="1:14" ht="15" customHeight="1" x14ac:dyDescent="0.3">
      <c r="A128" s="87"/>
      <c r="B128" s="74" t="s">
        <v>20</v>
      </c>
      <c r="C128" s="152" t="s">
        <v>53</v>
      </c>
      <c r="D128" s="153"/>
      <c r="E128" s="75" t="s">
        <v>49</v>
      </c>
      <c r="F128" s="76"/>
      <c r="G128" s="81">
        <f>G123</f>
        <v>260</v>
      </c>
      <c r="H128" s="77">
        <v>6</v>
      </c>
      <c r="I128" s="76"/>
      <c r="J128" s="78">
        <v>21.12</v>
      </c>
      <c r="K128" s="79">
        <f>J128*H128*G128</f>
        <v>32947.199999999997</v>
      </c>
      <c r="L128" s="80">
        <f t="shared" si="11"/>
        <v>40525.055999999997</v>
      </c>
      <c r="N128" s="3"/>
    </row>
    <row r="129" spans="1:14" ht="15" customHeight="1" x14ac:dyDescent="0.3">
      <c r="A129" s="87"/>
      <c r="B129" s="74" t="s">
        <v>21</v>
      </c>
      <c r="C129" s="152" t="s">
        <v>127</v>
      </c>
      <c r="D129" s="153"/>
      <c r="E129" s="82" t="s">
        <v>51</v>
      </c>
      <c r="F129" s="81">
        <f>F124</f>
        <v>268241.5</v>
      </c>
      <c r="G129" s="76"/>
      <c r="H129" s="76"/>
      <c r="I129" s="76"/>
      <c r="J129" s="78">
        <v>0</v>
      </c>
      <c r="K129" s="79">
        <f>F129*J129</f>
        <v>0</v>
      </c>
      <c r="L129" s="80">
        <f t="shared" si="11"/>
        <v>0</v>
      </c>
      <c r="N129" s="3"/>
    </row>
    <row r="130" spans="1:14" ht="15" customHeight="1" x14ac:dyDescent="0.3">
      <c r="A130" s="71"/>
      <c r="B130" s="74" t="s">
        <v>83</v>
      </c>
      <c r="C130" s="156" t="s">
        <v>54</v>
      </c>
      <c r="D130" s="157"/>
      <c r="E130" s="75" t="s">
        <v>51</v>
      </c>
      <c r="F130" s="81">
        <f>F124</f>
        <v>268241.5</v>
      </c>
      <c r="G130" s="76"/>
      <c r="H130" s="76"/>
      <c r="I130" s="76"/>
      <c r="J130" s="78">
        <v>2.2000000000000001E-3</v>
      </c>
      <c r="K130" s="79">
        <f>F130*J130</f>
        <v>590.13130000000001</v>
      </c>
      <c r="L130" s="80">
        <f t="shared" si="11"/>
        <v>725.86149899999998</v>
      </c>
      <c r="N130" s="3"/>
    </row>
    <row r="131" spans="1:14" ht="15" customHeight="1" x14ac:dyDescent="0.3">
      <c r="B131" s="131" t="s">
        <v>84</v>
      </c>
      <c r="C131" s="156" t="s">
        <v>156</v>
      </c>
      <c r="D131" s="157"/>
      <c r="E131" s="75" t="s">
        <v>51</v>
      </c>
      <c r="F131" s="81">
        <f>F124*0.5</f>
        <v>134120.75</v>
      </c>
      <c r="G131" s="76"/>
      <c r="H131" s="76"/>
      <c r="I131" s="76"/>
      <c r="J131" s="78">
        <v>7.6200000000000004E-2</v>
      </c>
      <c r="K131" s="79">
        <f>F131*J131</f>
        <v>10220.00115</v>
      </c>
      <c r="L131" s="80">
        <f t="shared" si="11"/>
        <v>12570.601414499999</v>
      </c>
      <c r="N131" s="3"/>
    </row>
    <row r="132" spans="1:14" ht="27.6" customHeight="1" thickBot="1" x14ac:dyDescent="0.35">
      <c r="A132" s="87"/>
      <c r="B132" s="83">
        <v>7</v>
      </c>
      <c r="C132" s="158" t="s">
        <v>134</v>
      </c>
      <c r="D132" s="159"/>
      <c r="E132" s="159"/>
      <c r="F132" s="159"/>
      <c r="G132" s="159"/>
      <c r="H132" s="159"/>
      <c r="I132" s="159"/>
      <c r="J132" s="159"/>
      <c r="K132" s="160"/>
      <c r="L132" s="84">
        <f>SUM(L122:L131)</f>
        <v>110223.02506499999</v>
      </c>
      <c r="N132" s="3"/>
    </row>
    <row r="133" spans="1:14" ht="43.2" customHeight="1" x14ac:dyDescent="0.3">
      <c r="A133" s="87"/>
      <c r="B133" s="85"/>
      <c r="C133" s="174" t="s">
        <v>103</v>
      </c>
      <c r="D133" s="175"/>
      <c r="E133" s="175"/>
      <c r="F133" s="175"/>
      <c r="G133" s="175"/>
      <c r="H133" s="175"/>
      <c r="I133" s="175"/>
      <c r="J133" s="175"/>
      <c r="K133" s="176"/>
      <c r="L133" s="86"/>
      <c r="N133" s="3"/>
    </row>
    <row r="134" spans="1:14" x14ac:dyDescent="0.3">
      <c r="A134" s="87"/>
      <c r="B134" s="74" t="s">
        <v>8</v>
      </c>
      <c r="C134" s="152" t="s">
        <v>46</v>
      </c>
      <c r="D134" s="153"/>
      <c r="E134" s="75" t="s">
        <v>47</v>
      </c>
      <c r="F134" s="76"/>
      <c r="G134" s="76"/>
      <c r="H134" s="77">
        <v>6</v>
      </c>
      <c r="I134" s="141">
        <v>6</v>
      </c>
      <c r="J134" s="78">
        <v>5</v>
      </c>
      <c r="K134" s="79">
        <f>H134*I134*J134</f>
        <v>180</v>
      </c>
      <c r="L134" s="80">
        <f t="shared" ref="L134:L143" si="12">K134*1.23</f>
        <v>221.4</v>
      </c>
      <c r="N134" s="3"/>
    </row>
    <row r="135" spans="1:14" ht="15" customHeight="1" x14ac:dyDescent="0.3">
      <c r="A135" s="87"/>
      <c r="B135" s="74" t="s">
        <v>11</v>
      </c>
      <c r="C135" s="152" t="s">
        <v>48</v>
      </c>
      <c r="D135" s="153"/>
      <c r="E135" s="75" t="s">
        <v>49</v>
      </c>
      <c r="F135" s="76"/>
      <c r="G135" s="140">
        <v>260</v>
      </c>
      <c r="H135" s="77">
        <v>6</v>
      </c>
      <c r="I135" s="76"/>
      <c r="J135" s="78">
        <v>0.08</v>
      </c>
      <c r="K135" s="79">
        <f>G135*H135*J135</f>
        <v>124.8</v>
      </c>
      <c r="L135" s="80">
        <f t="shared" si="12"/>
        <v>153.50399999999999</v>
      </c>
      <c r="N135" s="3"/>
    </row>
    <row r="136" spans="1:14" ht="15" customHeight="1" x14ac:dyDescent="0.3">
      <c r="A136" s="87"/>
      <c r="B136" s="74" t="s">
        <v>13</v>
      </c>
      <c r="C136" s="152" t="s">
        <v>50</v>
      </c>
      <c r="D136" s="153"/>
      <c r="E136" s="75" t="s">
        <v>51</v>
      </c>
      <c r="F136" s="81">
        <f>F124</f>
        <v>268241.5</v>
      </c>
      <c r="G136" s="76"/>
      <c r="H136" s="76"/>
      <c r="I136" s="76"/>
      <c r="J136" s="78">
        <v>1.0200000000000001E-2</v>
      </c>
      <c r="K136" s="79">
        <f>F136*J136</f>
        <v>2736.0633000000003</v>
      </c>
      <c r="L136" s="80">
        <f t="shared" si="12"/>
        <v>3365.3578590000002</v>
      </c>
      <c r="N136" s="3"/>
    </row>
    <row r="137" spans="1:14" ht="15" customHeight="1" x14ac:dyDescent="0.3">
      <c r="A137" s="87"/>
      <c r="B137" s="74" t="s">
        <v>15</v>
      </c>
      <c r="C137" s="154" t="s">
        <v>58</v>
      </c>
      <c r="D137" s="155"/>
      <c r="E137" s="82" t="s">
        <v>51</v>
      </c>
      <c r="F137" s="81">
        <f>F125</f>
        <v>48159.5</v>
      </c>
      <c r="G137" s="76"/>
      <c r="H137" s="76"/>
      <c r="I137" s="76"/>
      <c r="J137" s="78">
        <v>0.18859999999999999</v>
      </c>
      <c r="K137" s="79">
        <f>F137*J137</f>
        <v>9082.8816999999999</v>
      </c>
      <c r="L137" s="80">
        <f t="shared" si="12"/>
        <v>11171.944491</v>
      </c>
      <c r="N137" s="3"/>
    </row>
    <row r="138" spans="1:14" ht="15" customHeight="1" x14ac:dyDescent="0.3">
      <c r="A138" s="87"/>
      <c r="B138" s="74" t="s">
        <v>17</v>
      </c>
      <c r="C138" s="154" t="s">
        <v>59</v>
      </c>
      <c r="D138" s="155"/>
      <c r="E138" s="82" t="s">
        <v>51</v>
      </c>
      <c r="F138" s="81">
        <f>F126</f>
        <v>84520.5</v>
      </c>
      <c r="G138" s="76"/>
      <c r="H138" s="76"/>
      <c r="I138" s="76"/>
      <c r="J138" s="78">
        <v>0.27160000000000001</v>
      </c>
      <c r="K138" s="79">
        <f>F138*J138</f>
        <v>22955.767800000001</v>
      </c>
      <c r="L138" s="80">
        <f t="shared" si="12"/>
        <v>28235.594394</v>
      </c>
      <c r="N138" s="3"/>
    </row>
    <row r="139" spans="1:14" ht="15" customHeight="1" x14ac:dyDescent="0.3">
      <c r="A139" s="87"/>
      <c r="B139" s="74" t="s">
        <v>18</v>
      </c>
      <c r="C139" s="154" t="s">
        <v>60</v>
      </c>
      <c r="D139" s="155"/>
      <c r="E139" s="82" t="s">
        <v>51</v>
      </c>
      <c r="F139" s="81">
        <f>F127</f>
        <v>135561.5</v>
      </c>
      <c r="G139" s="88"/>
      <c r="H139" s="76"/>
      <c r="I139" s="76"/>
      <c r="J139" s="78">
        <v>6.7699999999999996E-2</v>
      </c>
      <c r="K139" s="79">
        <f>F139*J139</f>
        <v>9177.5135499999997</v>
      </c>
      <c r="L139" s="80">
        <f t="shared" si="12"/>
        <v>11288.341666499999</v>
      </c>
      <c r="N139" s="3"/>
    </row>
    <row r="140" spans="1:14" ht="15" customHeight="1" x14ac:dyDescent="0.3">
      <c r="A140" s="87"/>
      <c r="B140" s="74" t="s">
        <v>20</v>
      </c>
      <c r="C140" s="152" t="s">
        <v>53</v>
      </c>
      <c r="D140" s="153"/>
      <c r="E140" s="75" t="s">
        <v>49</v>
      </c>
      <c r="F140" s="76"/>
      <c r="G140" s="81">
        <f>G135</f>
        <v>260</v>
      </c>
      <c r="H140" s="77">
        <v>6</v>
      </c>
      <c r="I140" s="76"/>
      <c r="J140" s="78">
        <v>21.12</v>
      </c>
      <c r="K140" s="79">
        <f>J140*H140*G140</f>
        <v>32947.199999999997</v>
      </c>
      <c r="L140" s="80">
        <f t="shared" si="12"/>
        <v>40525.055999999997</v>
      </c>
      <c r="N140" s="3"/>
    </row>
    <row r="141" spans="1:14" ht="15" customHeight="1" x14ac:dyDescent="0.3">
      <c r="A141" s="87"/>
      <c r="B141" s="74" t="s">
        <v>21</v>
      </c>
      <c r="C141" s="152" t="s">
        <v>127</v>
      </c>
      <c r="D141" s="153"/>
      <c r="E141" s="82" t="s">
        <v>51</v>
      </c>
      <c r="F141" s="81">
        <f>F136</f>
        <v>268241.5</v>
      </c>
      <c r="G141" s="76"/>
      <c r="H141" s="76"/>
      <c r="I141" s="76"/>
      <c r="J141" s="78">
        <v>0</v>
      </c>
      <c r="K141" s="79">
        <f>F141*J141</f>
        <v>0</v>
      </c>
      <c r="L141" s="80">
        <f t="shared" si="12"/>
        <v>0</v>
      </c>
      <c r="N141" s="3"/>
    </row>
    <row r="142" spans="1:14" ht="15" customHeight="1" x14ac:dyDescent="0.3">
      <c r="A142" s="71"/>
      <c r="B142" s="74" t="s">
        <v>83</v>
      </c>
      <c r="C142" s="156" t="s">
        <v>54</v>
      </c>
      <c r="D142" s="157"/>
      <c r="E142" s="75" t="s">
        <v>51</v>
      </c>
      <c r="F142" s="81">
        <f>F136</f>
        <v>268241.5</v>
      </c>
      <c r="G142" s="76"/>
      <c r="H142" s="76"/>
      <c r="I142" s="76"/>
      <c r="J142" s="78">
        <v>2.2000000000000001E-3</v>
      </c>
      <c r="K142" s="79">
        <f>F142*J142</f>
        <v>590.13130000000001</v>
      </c>
      <c r="L142" s="80">
        <f t="shared" si="12"/>
        <v>725.86149899999998</v>
      </c>
      <c r="N142" s="3"/>
    </row>
    <row r="143" spans="1:14" ht="15" customHeight="1" x14ac:dyDescent="0.3">
      <c r="B143" s="131" t="s">
        <v>84</v>
      </c>
      <c r="C143" s="156" t="s">
        <v>156</v>
      </c>
      <c r="D143" s="157"/>
      <c r="E143" s="75" t="s">
        <v>51</v>
      </c>
      <c r="F143" s="81">
        <f>F136*0.5</f>
        <v>134120.75</v>
      </c>
      <c r="G143" s="76"/>
      <c r="H143" s="76"/>
      <c r="I143" s="76"/>
      <c r="J143" s="78">
        <v>7.6200000000000004E-2</v>
      </c>
      <c r="K143" s="79">
        <f>F143*J143</f>
        <v>10220.00115</v>
      </c>
      <c r="L143" s="80">
        <f t="shared" si="12"/>
        <v>12570.601414499999</v>
      </c>
      <c r="N143" s="3"/>
    </row>
    <row r="144" spans="1:14" ht="27.6" customHeight="1" thickBot="1" x14ac:dyDescent="0.35">
      <c r="A144" s="87"/>
      <c r="B144" s="83">
        <v>8</v>
      </c>
      <c r="C144" s="158" t="s">
        <v>135</v>
      </c>
      <c r="D144" s="159"/>
      <c r="E144" s="159"/>
      <c r="F144" s="159"/>
      <c r="G144" s="159"/>
      <c r="H144" s="159"/>
      <c r="I144" s="159"/>
      <c r="J144" s="159"/>
      <c r="K144" s="160"/>
      <c r="L144" s="84">
        <f>SUM(L134:L143)</f>
        <v>108257.66132399999</v>
      </c>
      <c r="N144" s="3"/>
    </row>
    <row r="145" spans="1:14" ht="48" customHeight="1" x14ac:dyDescent="0.3">
      <c r="A145" s="87"/>
      <c r="B145" s="85"/>
      <c r="C145" s="174" t="s">
        <v>65</v>
      </c>
      <c r="D145" s="175"/>
      <c r="E145" s="175"/>
      <c r="F145" s="175"/>
      <c r="G145" s="175"/>
      <c r="H145" s="175"/>
      <c r="I145" s="175"/>
      <c r="J145" s="175"/>
      <c r="K145" s="176"/>
      <c r="L145" s="86"/>
      <c r="N145" s="3"/>
    </row>
    <row r="146" spans="1:14" x14ac:dyDescent="0.3">
      <c r="A146" s="87"/>
      <c r="B146" s="74" t="s">
        <v>8</v>
      </c>
      <c r="C146" s="152" t="s">
        <v>46</v>
      </c>
      <c r="D146" s="153"/>
      <c r="E146" s="75" t="s">
        <v>47</v>
      </c>
      <c r="F146" s="76"/>
      <c r="G146" s="76"/>
      <c r="H146" s="77">
        <v>12</v>
      </c>
      <c r="I146" s="141">
        <f>2226+83</f>
        <v>2309</v>
      </c>
      <c r="J146" s="78">
        <v>2</v>
      </c>
      <c r="K146" s="79">
        <f>H146*I146*J146</f>
        <v>55416</v>
      </c>
      <c r="L146" s="80">
        <f t="shared" ref="L146:L153" si="13">K146*1.23</f>
        <v>68161.679999999993</v>
      </c>
      <c r="N146" s="3"/>
    </row>
    <row r="147" spans="1:14" ht="15" customHeight="1" x14ac:dyDescent="0.3">
      <c r="A147" s="87"/>
      <c r="B147" s="74" t="s">
        <v>11</v>
      </c>
      <c r="C147" s="152" t="s">
        <v>48</v>
      </c>
      <c r="D147" s="153"/>
      <c r="E147" s="75" t="s">
        <v>49</v>
      </c>
      <c r="F147" s="76"/>
      <c r="G147" s="140">
        <f>28279+1052.7</f>
        <v>29331.7</v>
      </c>
      <c r="H147" s="77">
        <v>12</v>
      </c>
      <c r="I147" s="76"/>
      <c r="J147" s="78">
        <v>0.08</v>
      </c>
      <c r="K147" s="79">
        <f>G147*H147*J147</f>
        <v>28158.432000000001</v>
      </c>
      <c r="L147" s="80">
        <f t="shared" si="13"/>
        <v>34634.871359999997</v>
      </c>
      <c r="N147" s="3"/>
    </row>
    <row r="148" spans="1:14" ht="15" customHeight="1" x14ac:dyDescent="0.3">
      <c r="A148" s="87"/>
      <c r="B148" s="74" t="s">
        <v>13</v>
      </c>
      <c r="C148" s="152" t="s">
        <v>50</v>
      </c>
      <c r="D148" s="153"/>
      <c r="E148" s="75" t="s">
        <v>51</v>
      </c>
      <c r="F148" s="81">
        <f>E24</f>
        <v>16516210.720000001</v>
      </c>
      <c r="G148" s="76"/>
      <c r="H148" s="76"/>
      <c r="I148" s="76"/>
      <c r="J148" s="78">
        <v>1.0200000000000001E-2</v>
      </c>
      <c r="K148" s="79">
        <f>F148*J148</f>
        <v>168465.34934400002</v>
      </c>
      <c r="L148" s="80">
        <f t="shared" si="13"/>
        <v>207212.37969312002</v>
      </c>
      <c r="N148" s="3"/>
    </row>
    <row r="149" spans="1:14" ht="15" customHeight="1" x14ac:dyDescent="0.3">
      <c r="A149" s="87"/>
      <c r="B149" s="74" t="s">
        <v>15</v>
      </c>
      <c r="C149" s="154" t="s">
        <v>52</v>
      </c>
      <c r="D149" s="155"/>
      <c r="E149" s="82" t="s">
        <v>51</v>
      </c>
      <c r="F149" s="81">
        <f>F148</f>
        <v>16516210.720000001</v>
      </c>
      <c r="G149" s="76"/>
      <c r="H149" s="76"/>
      <c r="I149" s="76"/>
      <c r="J149" s="78">
        <v>0.25679999999999997</v>
      </c>
      <c r="K149" s="79">
        <f>J149*F149</f>
        <v>4241362.9128959998</v>
      </c>
      <c r="L149" s="80">
        <f t="shared" si="13"/>
        <v>5216876.3828620799</v>
      </c>
      <c r="N149" s="3"/>
    </row>
    <row r="150" spans="1:14" ht="15" customHeight="1" x14ac:dyDescent="0.3">
      <c r="A150" s="87"/>
      <c r="B150" s="74" t="s">
        <v>17</v>
      </c>
      <c r="C150" s="152" t="s">
        <v>53</v>
      </c>
      <c r="D150" s="153"/>
      <c r="E150" s="75" t="s">
        <v>49</v>
      </c>
      <c r="F150" s="76"/>
      <c r="G150" s="81">
        <f>G147</f>
        <v>29331.7</v>
      </c>
      <c r="H150" s="77">
        <v>12</v>
      </c>
      <c r="I150" s="76"/>
      <c r="J150" s="78">
        <v>4.84</v>
      </c>
      <c r="K150" s="79">
        <f>J150*H150*G150</f>
        <v>1703585.1359999999</v>
      </c>
      <c r="L150" s="80">
        <f t="shared" si="13"/>
        <v>2095409.71728</v>
      </c>
      <c r="N150" s="3"/>
    </row>
    <row r="151" spans="1:14" ht="15" customHeight="1" x14ac:dyDescent="0.3">
      <c r="A151" s="87"/>
      <c r="B151" s="74" t="s">
        <v>18</v>
      </c>
      <c r="C151" s="152" t="s">
        <v>127</v>
      </c>
      <c r="D151" s="153"/>
      <c r="E151" s="82" t="s">
        <v>51</v>
      </c>
      <c r="F151" s="81">
        <f>F148</f>
        <v>16516210.720000001</v>
      </c>
      <c r="G151" s="76"/>
      <c r="H151" s="76"/>
      <c r="I151" s="76"/>
      <c r="J151" s="78">
        <v>0</v>
      </c>
      <c r="K151" s="79">
        <f>F151*J151</f>
        <v>0</v>
      </c>
      <c r="L151" s="80">
        <f t="shared" si="13"/>
        <v>0</v>
      </c>
      <c r="N151" s="3"/>
    </row>
    <row r="152" spans="1:14" ht="15" customHeight="1" x14ac:dyDescent="0.3">
      <c r="A152" s="71"/>
      <c r="B152" s="74" t="s">
        <v>20</v>
      </c>
      <c r="C152" s="156" t="s">
        <v>54</v>
      </c>
      <c r="D152" s="157"/>
      <c r="E152" s="75" t="s">
        <v>51</v>
      </c>
      <c r="F152" s="81">
        <f>F148</f>
        <v>16516210.720000001</v>
      </c>
      <c r="G152" s="76"/>
      <c r="H152" s="76"/>
      <c r="I152" s="76"/>
      <c r="J152" s="78">
        <v>2.2000000000000001E-3</v>
      </c>
      <c r="K152" s="79">
        <f>F152*J152</f>
        <v>36335.663584000002</v>
      </c>
      <c r="L152" s="80">
        <f t="shared" si="13"/>
        <v>44692.866208320003</v>
      </c>
      <c r="N152" s="3"/>
    </row>
    <row r="153" spans="1:14" ht="15" customHeight="1" x14ac:dyDescent="0.3">
      <c r="B153" s="131" t="s">
        <v>83</v>
      </c>
      <c r="C153" s="156" t="s">
        <v>156</v>
      </c>
      <c r="D153" s="157"/>
      <c r="E153" s="75" t="s">
        <v>51</v>
      </c>
      <c r="F153" s="81">
        <f>F148*0.65</f>
        <v>10735536.968</v>
      </c>
      <c r="G153" s="76"/>
      <c r="H153" s="76"/>
      <c r="I153" s="76"/>
      <c r="J153" s="78">
        <v>7.6200000000000004E-2</v>
      </c>
      <c r="K153" s="79">
        <f>F153*J153</f>
        <v>818047.91696160007</v>
      </c>
      <c r="L153" s="80">
        <f t="shared" si="13"/>
        <v>1006198.9378627681</v>
      </c>
      <c r="N153" s="3"/>
    </row>
    <row r="154" spans="1:14" ht="28.95" customHeight="1" thickBot="1" x14ac:dyDescent="0.35">
      <c r="A154" s="87"/>
      <c r="B154" s="83">
        <v>9</v>
      </c>
      <c r="C154" s="158" t="s">
        <v>136</v>
      </c>
      <c r="D154" s="159"/>
      <c r="E154" s="159"/>
      <c r="F154" s="159"/>
      <c r="G154" s="159"/>
      <c r="H154" s="159"/>
      <c r="I154" s="159"/>
      <c r="J154" s="159"/>
      <c r="K154" s="160"/>
      <c r="L154" s="84">
        <f>SUM(L146:L153)</f>
        <v>8673186.8352662865</v>
      </c>
      <c r="N154" s="3"/>
    </row>
    <row r="155" spans="1:14" ht="48.6" customHeight="1" x14ac:dyDescent="0.3">
      <c r="A155" s="87"/>
      <c r="B155" s="85"/>
      <c r="C155" s="174" t="s">
        <v>66</v>
      </c>
      <c r="D155" s="175"/>
      <c r="E155" s="175"/>
      <c r="F155" s="175"/>
      <c r="G155" s="175"/>
      <c r="H155" s="175"/>
      <c r="I155" s="175"/>
      <c r="J155" s="175"/>
      <c r="K155" s="176"/>
      <c r="L155" s="86"/>
      <c r="N155" s="3"/>
    </row>
    <row r="156" spans="1:14" x14ac:dyDescent="0.3">
      <c r="A156" s="87"/>
      <c r="B156" s="74" t="s">
        <v>8</v>
      </c>
      <c r="C156" s="152" t="s">
        <v>46</v>
      </c>
      <c r="D156" s="153"/>
      <c r="E156" s="75" t="s">
        <v>47</v>
      </c>
      <c r="F156" s="76"/>
      <c r="G156" s="76"/>
      <c r="H156" s="77">
        <v>12</v>
      </c>
      <c r="I156" s="141">
        <f>1234+6</f>
        <v>1240</v>
      </c>
      <c r="J156" s="78">
        <v>2</v>
      </c>
      <c r="K156" s="79">
        <f>H156*I156*J156</f>
        <v>29760</v>
      </c>
      <c r="L156" s="80">
        <f t="shared" ref="L156:L164" si="14">K156*1.23</f>
        <v>36604.800000000003</v>
      </c>
      <c r="N156" s="3"/>
    </row>
    <row r="157" spans="1:14" ht="15" customHeight="1" x14ac:dyDescent="0.3">
      <c r="A157" s="87"/>
      <c r="B157" s="74" t="s">
        <v>11</v>
      </c>
      <c r="C157" s="152" t="s">
        <v>48</v>
      </c>
      <c r="D157" s="153"/>
      <c r="E157" s="75" t="s">
        <v>49</v>
      </c>
      <c r="F157" s="76"/>
      <c r="G157" s="140">
        <f>19136.2+149.5</f>
        <v>19285.7</v>
      </c>
      <c r="H157" s="77">
        <v>12</v>
      </c>
      <c r="I157" s="76"/>
      <c r="J157" s="78">
        <v>0.08</v>
      </c>
      <c r="K157" s="79">
        <f>G157*H157*J157</f>
        <v>18514.272000000001</v>
      </c>
      <c r="L157" s="80">
        <f t="shared" si="14"/>
        <v>22772.55456</v>
      </c>
      <c r="N157" s="3"/>
    </row>
    <row r="158" spans="1:14" ht="15" customHeight="1" x14ac:dyDescent="0.3">
      <c r="A158" s="87"/>
      <c r="B158" s="74" t="s">
        <v>13</v>
      </c>
      <c r="C158" s="152" t="s">
        <v>50</v>
      </c>
      <c r="D158" s="153"/>
      <c r="E158" s="75" t="s">
        <v>51</v>
      </c>
      <c r="F158" s="81">
        <f>SUM(E25:E26)</f>
        <v>15398231.1</v>
      </c>
      <c r="G158" s="76"/>
      <c r="H158" s="76"/>
      <c r="I158" s="76"/>
      <c r="J158" s="78">
        <v>1.0200000000000001E-2</v>
      </c>
      <c r="K158" s="79">
        <f>F158*J158</f>
        <v>157061.95722000001</v>
      </c>
      <c r="L158" s="80">
        <f t="shared" si="14"/>
        <v>193186.20738060001</v>
      </c>
      <c r="N158" s="3"/>
    </row>
    <row r="159" spans="1:14" ht="15" customHeight="1" x14ac:dyDescent="0.3">
      <c r="A159" s="87"/>
      <c r="B159" s="74" t="s">
        <v>15</v>
      </c>
      <c r="C159" s="154" t="s">
        <v>55</v>
      </c>
      <c r="D159" s="155"/>
      <c r="E159" s="82" t="s">
        <v>51</v>
      </c>
      <c r="F159" s="81">
        <f>E25</f>
        <v>5502046.4000000004</v>
      </c>
      <c r="G159" s="76"/>
      <c r="H159" s="76"/>
      <c r="I159" s="76"/>
      <c r="J159" s="78">
        <v>0.32100000000000001</v>
      </c>
      <c r="K159" s="79">
        <f>F159*J159</f>
        <v>1766156.8944000001</v>
      </c>
      <c r="L159" s="80">
        <f t="shared" si="14"/>
        <v>2172372.9801119999</v>
      </c>
      <c r="N159" s="3"/>
    </row>
    <row r="160" spans="1:14" ht="15" customHeight="1" x14ac:dyDescent="0.3">
      <c r="A160" s="87"/>
      <c r="B160" s="74" t="s">
        <v>17</v>
      </c>
      <c r="C160" s="154" t="s">
        <v>56</v>
      </c>
      <c r="D160" s="155"/>
      <c r="E160" s="82" t="s">
        <v>51</v>
      </c>
      <c r="F160" s="81">
        <f>E26</f>
        <v>9896184.6999999993</v>
      </c>
      <c r="G160" s="76"/>
      <c r="H160" s="76"/>
      <c r="I160" s="76"/>
      <c r="J160" s="78">
        <v>9.3600000000000003E-2</v>
      </c>
      <c r="K160" s="79">
        <f>F160*J160</f>
        <v>926282.88792000001</v>
      </c>
      <c r="L160" s="80">
        <f t="shared" si="14"/>
        <v>1139327.9521416</v>
      </c>
      <c r="N160" s="3"/>
    </row>
    <row r="161" spans="1:14" ht="15" customHeight="1" x14ac:dyDescent="0.3">
      <c r="A161" s="87"/>
      <c r="B161" s="74" t="s">
        <v>18</v>
      </c>
      <c r="C161" s="152" t="s">
        <v>53</v>
      </c>
      <c r="D161" s="153"/>
      <c r="E161" s="75" t="s">
        <v>49</v>
      </c>
      <c r="F161" s="76"/>
      <c r="G161" s="81">
        <f>G157</f>
        <v>19285.7</v>
      </c>
      <c r="H161" s="77">
        <v>12</v>
      </c>
      <c r="I161" s="76"/>
      <c r="J161" s="78">
        <v>4.84</v>
      </c>
      <c r="K161" s="79">
        <f>J161*H161*G161</f>
        <v>1120113.456</v>
      </c>
      <c r="L161" s="80">
        <f t="shared" si="14"/>
        <v>1377739.55088</v>
      </c>
      <c r="N161" s="3"/>
    </row>
    <row r="162" spans="1:14" ht="15" customHeight="1" x14ac:dyDescent="0.3">
      <c r="A162" s="87"/>
      <c r="B162" s="74" t="s">
        <v>20</v>
      </c>
      <c r="C162" s="152" t="s">
        <v>127</v>
      </c>
      <c r="D162" s="153"/>
      <c r="E162" s="82" t="s">
        <v>51</v>
      </c>
      <c r="F162" s="81">
        <f>F163</f>
        <v>15398231.1</v>
      </c>
      <c r="G162" s="76"/>
      <c r="H162" s="76"/>
      <c r="I162" s="76"/>
      <c r="J162" s="78">
        <v>0</v>
      </c>
      <c r="K162" s="79">
        <f>F162*J162</f>
        <v>0</v>
      </c>
      <c r="L162" s="80">
        <f t="shared" si="14"/>
        <v>0</v>
      </c>
      <c r="N162" s="3"/>
    </row>
    <row r="163" spans="1:14" ht="15" customHeight="1" x14ac:dyDescent="0.3">
      <c r="A163" s="71"/>
      <c r="B163" s="74" t="s">
        <v>21</v>
      </c>
      <c r="C163" s="156" t="s">
        <v>54</v>
      </c>
      <c r="D163" s="157"/>
      <c r="E163" s="75" t="s">
        <v>51</v>
      </c>
      <c r="F163" s="81">
        <f>F158</f>
        <v>15398231.1</v>
      </c>
      <c r="G163" s="76"/>
      <c r="H163" s="76"/>
      <c r="I163" s="76"/>
      <c r="J163" s="78">
        <v>2.2000000000000001E-3</v>
      </c>
      <c r="K163" s="79">
        <f>F163*J163</f>
        <v>33876.108420000004</v>
      </c>
      <c r="L163" s="80">
        <f t="shared" si="14"/>
        <v>41667.613356600006</v>
      </c>
      <c r="N163" s="3"/>
    </row>
    <row r="164" spans="1:14" ht="15" customHeight="1" x14ac:dyDescent="0.3">
      <c r="B164" s="131" t="s">
        <v>83</v>
      </c>
      <c r="C164" s="156" t="s">
        <v>156</v>
      </c>
      <c r="D164" s="157"/>
      <c r="E164" s="75" t="s">
        <v>51</v>
      </c>
      <c r="F164" s="81">
        <f>F158*0.65</f>
        <v>10008850.215</v>
      </c>
      <c r="G164" s="76"/>
      <c r="H164" s="76"/>
      <c r="I164" s="76"/>
      <c r="J164" s="78">
        <v>7.6200000000000004E-2</v>
      </c>
      <c r="K164" s="79">
        <f>F164*J164</f>
        <v>762674.38638300006</v>
      </c>
      <c r="L164" s="80">
        <f t="shared" si="14"/>
        <v>938089.49525109003</v>
      </c>
      <c r="N164" s="3"/>
    </row>
    <row r="165" spans="1:14" ht="26.4" customHeight="1" thickBot="1" x14ac:dyDescent="0.35">
      <c r="A165" s="87"/>
      <c r="B165" s="83">
        <v>10</v>
      </c>
      <c r="C165" s="158" t="s">
        <v>137</v>
      </c>
      <c r="D165" s="159"/>
      <c r="E165" s="159"/>
      <c r="F165" s="159"/>
      <c r="G165" s="159"/>
      <c r="H165" s="159"/>
      <c r="I165" s="159"/>
      <c r="J165" s="159"/>
      <c r="K165" s="160"/>
      <c r="L165" s="84">
        <f>SUM(L156:L164)</f>
        <v>5921761.1536818901</v>
      </c>
      <c r="N165" s="3"/>
    </row>
    <row r="166" spans="1:14" ht="37.950000000000003" customHeight="1" x14ac:dyDescent="0.3">
      <c r="A166" s="87"/>
      <c r="B166" s="85"/>
      <c r="C166" s="174" t="s">
        <v>67</v>
      </c>
      <c r="D166" s="175"/>
      <c r="E166" s="175"/>
      <c r="F166" s="175"/>
      <c r="G166" s="175"/>
      <c r="H166" s="175"/>
      <c r="I166" s="175"/>
      <c r="J166" s="175"/>
      <c r="K166" s="176"/>
      <c r="L166" s="86"/>
      <c r="N166" s="3"/>
    </row>
    <row r="167" spans="1:14" x14ac:dyDescent="0.3">
      <c r="A167" s="87"/>
      <c r="B167" s="74" t="s">
        <v>8</v>
      </c>
      <c r="C167" s="152" t="s">
        <v>46</v>
      </c>
      <c r="D167" s="153"/>
      <c r="E167" s="75" t="s">
        <v>47</v>
      </c>
      <c r="F167" s="76"/>
      <c r="G167" s="76"/>
      <c r="H167" s="77">
        <v>12</v>
      </c>
      <c r="I167" s="141">
        <f>64+1</f>
        <v>65</v>
      </c>
      <c r="J167" s="78">
        <v>2</v>
      </c>
      <c r="K167" s="79">
        <f>H167*I167*J167</f>
        <v>1560</v>
      </c>
      <c r="L167" s="80">
        <f t="shared" ref="L167:L175" si="15">K167*1.23</f>
        <v>1918.8</v>
      </c>
      <c r="N167" s="3"/>
    </row>
    <row r="168" spans="1:14" ht="15" customHeight="1" x14ac:dyDescent="0.3">
      <c r="A168" s="87"/>
      <c r="B168" s="74" t="s">
        <v>11</v>
      </c>
      <c r="C168" s="152" t="s">
        <v>48</v>
      </c>
      <c r="D168" s="153"/>
      <c r="E168" s="75" t="s">
        <v>49</v>
      </c>
      <c r="F168" s="76"/>
      <c r="G168" s="140">
        <f>650+26</f>
        <v>676</v>
      </c>
      <c r="H168" s="77">
        <v>12</v>
      </c>
      <c r="I168" s="76"/>
      <c r="J168" s="78">
        <v>0.08</v>
      </c>
      <c r="K168" s="79">
        <f>G168*H168*J168</f>
        <v>648.96</v>
      </c>
      <c r="L168" s="80">
        <f t="shared" si="15"/>
        <v>798.22080000000005</v>
      </c>
      <c r="N168" s="3"/>
    </row>
    <row r="169" spans="1:14" ht="15" customHeight="1" x14ac:dyDescent="0.3">
      <c r="A169" s="87"/>
      <c r="B169" s="74" t="s">
        <v>13</v>
      </c>
      <c r="C169" s="152" t="s">
        <v>50</v>
      </c>
      <c r="D169" s="153"/>
      <c r="E169" s="75" t="s">
        <v>51</v>
      </c>
      <c r="F169" s="81">
        <f>SUM(E27:E28)</f>
        <v>471386.60000000003</v>
      </c>
      <c r="G169" s="76"/>
      <c r="H169" s="76"/>
      <c r="I169" s="76"/>
      <c r="J169" s="78">
        <v>1.0200000000000001E-2</v>
      </c>
      <c r="K169" s="79">
        <f>F169*J169</f>
        <v>4808.143320000001</v>
      </c>
      <c r="L169" s="80">
        <f t="shared" si="15"/>
        <v>5914.0162836000009</v>
      </c>
      <c r="N169" s="3"/>
    </row>
    <row r="170" spans="1:14" ht="15" customHeight="1" x14ac:dyDescent="0.3">
      <c r="A170" s="87"/>
      <c r="B170" s="74" t="s">
        <v>15</v>
      </c>
      <c r="C170" s="154" t="s">
        <v>55</v>
      </c>
      <c r="D170" s="155"/>
      <c r="E170" s="82" t="s">
        <v>51</v>
      </c>
      <c r="F170" s="81">
        <f>E27</f>
        <v>318671.40000000002</v>
      </c>
      <c r="G170" s="76"/>
      <c r="H170" s="76"/>
      <c r="I170" s="76"/>
      <c r="J170" s="78">
        <v>0.27779999999999999</v>
      </c>
      <c r="K170" s="79">
        <f>F170*J170</f>
        <v>88526.91492000001</v>
      </c>
      <c r="L170" s="80">
        <f t="shared" si="15"/>
        <v>108888.10535160001</v>
      </c>
      <c r="N170" s="3"/>
    </row>
    <row r="171" spans="1:14" ht="15" customHeight="1" x14ac:dyDescent="0.3">
      <c r="A171" s="87"/>
      <c r="B171" s="74" t="s">
        <v>17</v>
      </c>
      <c r="C171" s="154" t="s">
        <v>56</v>
      </c>
      <c r="D171" s="155"/>
      <c r="E171" s="82" t="s">
        <v>51</v>
      </c>
      <c r="F171" s="81">
        <f>E28</f>
        <v>152715.20000000001</v>
      </c>
      <c r="G171" s="76"/>
      <c r="H171" s="76"/>
      <c r="I171" s="76"/>
      <c r="J171" s="78">
        <v>6.1600000000000002E-2</v>
      </c>
      <c r="K171" s="79">
        <f>F171*J171</f>
        <v>9407.2563200000004</v>
      </c>
      <c r="L171" s="80">
        <f t="shared" si="15"/>
        <v>11570.9252736</v>
      </c>
      <c r="N171" s="3"/>
    </row>
    <row r="172" spans="1:14" ht="15" customHeight="1" x14ac:dyDescent="0.3">
      <c r="A172" s="87"/>
      <c r="B172" s="74" t="s">
        <v>18</v>
      </c>
      <c r="C172" s="152" t="s">
        <v>53</v>
      </c>
      <c r="D172" s="153"/>
      <c r="E172" s="75" t="s">
        <v>49</v>
      </c>
      <c r="F172" s="76"/>
      <c r="G172" s="81">
        <f>G168</f>
        <v>676</v>
      </c>
      <c r="H172" s="77">
        <v>12</v>
      </c>
      <c r="I172" s="76"/>
      <c r="J172" s="78">
        <v>4.84</v>
      </c>
      <c r="K172" s="79">
        <f>J172*H172*G172</f>
        <v>39262.080000000002</v>
      </c>
      <c r="L172" s="80">
        <f t="shared" si="15"/>
        <v>48292.358400000005</v>
      </c>
      <c r="N172" s="3"/>
    </row>
    <row r="173" spans="1:14" ht="15" customHeight="1" x14ac:dyDescent="0.3">
      <c r="A173" s="87"/>
      <c r="B173" s="74" t="s">
        <v>20</v>
      </c>
      <c r="C173" s="152" t="s">
        <v>127</v>
      </c>
      <c r="D173" s="153"/>
      <c r="E173" s="82" t="s">
        <v>51</v>
      </c>
      <c r="F173" s="81">
        <f>F169</f>
        <v>471386.60000000003</v>
      </c>
      <c r="G173" s="76"/>
      <c r="H173" s="76"/>
      <c r="I173" s="76"/>
      <c r="J173" s="78">
        <v>0</v>
      </c>
      <c r="K173" s="79">
        <f>F173*J173</f>
        <v>0</v>
      </c>
      <c r="L173" s="80">
        <f t="shared" si="15"/>
        <v>0</v>
      </c>
      <c r="N173" s="3"/>
    </row>
    <row r="174" spans="1:14" ht="15" customHeight="1" x14ac:dyDescent="0.3">
      <c r="A174" s="71"/>
      <c r="B174" s="74" t="s">
        <v>21</v>
      </c>
      <c r="C174" s="156" t="s">
        <v>54</v>
      </c>
      <c r="D174" s="157"/>
      <c r="E174" s="75" t="s">
        <v>51</v>
      </c>
      <c r="F174" s="81">
        <f>F169</f>
        <v>471386.60000000003</v>
      </c>
      <c r="G174" s="76"/>
      <c r="H174" s="76"/>
      <c r="I174" s="76"/>
      <c r="J174" s="78">
        <v>2.2000000000000001E-3</v>
      </c>
      <c r="K174" s="79">
        <f>F174*J174</f>
        <v>1037.0505200000002</v>
      </c>
      <c r="L174" s="80">
        <f t="shared" si="15"/>
        <v>1275.5721396000004</v>
      </c>
      <c r="N174" s="3"/>
    </row>
    <row r="175" spans="1:14" ht="15" customHeight="1" x14ac:dyDescent="0.3">
      <c r="B175" s="131" t="s">
        <v>83</v>
      </c>
      <c r="C175" s="156" t="s">
        <v>156</v>
      </c>
      <c r="D175" s="157"/>
      <c r="E175" s="75" t="s">
        <v>51</v>
      </c>
      <c r="F175" s="81">
        <f>F169*0.65</f>
        <v>306401.29000000004</v>
      </c>
      <c r="G175" s="76"/>
      <c r="H175" s="76"/>
      <c r="I175" s="76"/>
      <c r="J175" s="78">
        <v>7.6200000000000004E-2</v>
      </c>
      <c r="K175" s="79">
        <f>F175*J175</f>
        <v>23347.778298000005</v>
      </c>
      <c r="L175" s="80">
        <f t="shared" si="15"/>
        <v>28717.767306540005</v>
      </c>
      <c r="N175" s="3"/>
    </row>
    <row r="176" spans="1:14" ht="27.6" customHeight="1" thickBot="1" x14ac:dyDescent="0.35">
      <c r="A176" s="87"/>
      <c r="B176" s="83">
        <v>11</v>
      </c>
      <c r="C176" s="158" t="s">
        <v>138</v>
      </c>
      <c r="D176" s="159"/>
      <c r="E176" s="159"/>
      <c r="F176" s="159"/>
      <c r="G176" s="159"/>
      <c r="H176" s="159"/>
      <c r="I176" s="159"/>
      <c r="J176" s="159"/>
      <c r="K176" s="160"/>
      <c r="L176" s="84">
        <f>SUM(L167:L175)</f>
        <v>207375.76555494004</v>
      </c>
      <c r="N176" s="3"/>
    </row>
    <row r="177" spans="1:14" ht="40.950000000000003" customHeight="1" x14ac:dyDescent="0.3">
      <c r="A177" s="87"/>
      <c r="B177" s="85"/>
      <c r="C177" s="174" t="s">
        <v>68</v>
      </c>
      <c r="D177" s="175"/>
      <c r="E177" s="175"/>
      <c r="F177" s="175"/>
      <c r="G177" s="175"/>
      <c r="H177" s="175"/>
      <c r="I177" s="175"/>
      <c r="J177" s="175"/>
      <c r="K177" s="176"/>
      <c r="L177" s="86"/>
      <c r="N177" s="3"/>
    </row>
    <row r="178" spans="1:14" x14ac:dyDescent="0.3">
      <c r="A178" s="87"/>
      <c r="B178" s="74" t="s">
        <v>8</v>
      </c>
      <c r="C178" s="152" t="s">
        <v>46</v>
      </c>
      <c r="D178" s="153"/>
      <c r="E178" s="75" t="s">
        <v>47</v>
      </c>
      <c r="F178" s="76"/>
      <c r="G178" s="76"/>
      <c r="H178" s="77">
        <v>12</v>
      </c>
      <c r="I178" s="141">
        <f>7950+33</f>
        <v>7983</v>
      </c>
      <c r="J178" s="78">
        <v>2</v>
      </c>
      <c r="K178" s="79">
        <f>H178*I178*J178</f>
        <v>191592</v>
      </c>
      <c r="L178" s="80">
        <f t="shared" ref="L178:L186" si="16">K178*1.23</f>
        <v>235658.16</v>
      </c>
      <c r="N178" s="3"/>
    </row>
    <row r="179" spans="1:14" ht="15" customHeight="1" x14ac:dyDescent="0.3">
      <c r="A179" s="87"/>
      <c r="B179" s="74" t="s">
        <v>11</v>
      </c>
      <c r="C179" s="152" t="s">
        <v>48</v>
      </c>
      <c r="D179" s="153"/>
      <c r="E179" s="75" t="s">
        <v>49</v>
      </c>
      <c r="F179" s="76"/>
      <c r="G179" s="140">
        <f>25918.6+218.1</f>
        <v>26136.699999999997</v>
      </c>
      <c r="H179" s="77">
        <v>12</v>
      </c>
      <c r="I179" s="76"/>
      <c r="J179" s="78">
        <v>0.08</v>
      </c>
      <c r="K179" s="79">
        <f>G179*H179*J179</f>
        <v>25091.231999999996</v>
      </c>
      <c r="L179" s="80">
        <f t="shared" si="16"/>
        <v>30862.215359999995</v>
      </c>
      <c r="N179" s="3"/>
    </row>
    <row r="180" spans="1:14" ht="15" customHeight="1" x14ac:dyDescent="0.3">
      <c r="A180" s="87"/>
      <c r="B180" s="74" t="s">
        <v>13</v>
      </c>
      <c r="C180" s="152" t="s">
        <v>50</v>
      </c>
      <c r="D180" s="153"/>
      <c r="E180" s="75" t="s">
        <v>51</v>
      </c>
      <c r="F180" s="81">
        <f>SUM(E29:E30)</f>
        <v>63977511.400000006</v>
      </c>
      <c r="G180" s="76"/>
      <c r="H180" s="76"/>
      <c r="I180" s="76"/>
      <c r="J180" s="78">
        <v>1.0200000000000001E-2</v>
      </c>
      <c r="K180" s="79">
        <f>F180*J180</f>
        <v>652570.61628000007</v>
      </c>
      <c r="L180" s="80">
        <f t="shared" si="16"/>
        <v>802661.85802440008</v>
      </c>
      <c r="N180" s="3"/>
    </row>
    <row r="181" spans="1:14" ht="15" customHeight="1" x14ac:dyDescent="0.3">
      <c r="A181" s="87"/>
      <c r="B181" s="74" t="s">
        <v>15</v>
      </c>
      <c r="C181" s="154" t="s">
        <v>55</v>
      </c>
      <c r="D181" s="155"/>
      <c r="E181" s="82" t="s">
        <v>51</v>
      </c>
      <c r="F181" s="81">
        <f>E29</f>
        <v>11379991.41</v>
      </c>
      <c r="G181" s="76"/>
      <c r="H181" s="76"/>
      <c r="I181" s="76"/>
      <c r="J181" s="78">
        <v>0.37940000000000002</v>
      </c>
      <c r="K181" s="79">
        <f>F181*J181</f>
        <v>4317568.7409540005</v>
      </c>
      <c r="L181" s="80">
        <f t="shared" si="16"/>
        <v>5310609.5513734203</v>
      </c>
      <c r="N181" s="3"/>
    </row>
    <row r="182" spans="1:14" ht="15" customHeight="1" x14ac:dyDescent="0.3">
      <c r="A182" s="87"/>
      <c r="B182" s="74" t="s">
        <v>17</v>
      </c>
      <c r="C182" s="154" t="s">
        <v>56</v>
      </c>
      <c r="D182" s="155"/>
      <c r="E182" s="82" t="s">
        <v>51</v>
      </c>
      <c r="F182" s="81">
        <f>E30</f>
        <v>52597519.990000002</v>
      </c>
      <c r="G182" s="76"/>
      <c r="H182" s="76"/>
      <c r="I182" s="76"/>
      <c r="J182" s="78">
        <v>3.7999999999999999E-2</v>
      </c>
      <c r="K182" s="79">
        <f>F182*J182</f>
        <v>1998705.7596200001</v>
      </c>
      <c r="L182" s="80">
        <f t="shared" si="16"/>
        <v>2458408.0843326002</v>
      </c>
      <c r="N182" s="3"/>
    </row>
    <row r="183" spans="1:14" ht="15" customHeight="1" x14ac:dyDescent="0.3">
      <c r="A183" s="87"/>
      <c r="B183" s="74" t="s">
        <v>18</v>
      </c>
      <c r="C183" s="152" t="s">
        <v>53</v>
      </c>
      <c r="D183" s="153"/>
      <c r="E183" s="75" t="s">
        <v>49</v>
      </c>
      <c r="F183" s="76"/>
      <c r="G183" s="81">
        <f>G179</f>
        <v>26136.699999999997</v>
      </c>
      <c r="H183" s="77">
        <v>12</v>
      </c>
      <c r="I183" s="76"/>
      <c r="J183" s="78">
        <v>4.84</v>
      </c>
      <c r="K183" s="79">
        <f>J183*H183*G183</f>
        <v>1518019.5359999998</v>
      </c>
      <c r="L183" s="80">
        <f t="shared" si="16"/>
        <v>1867164.0292799999</v>
      </c>
      <c r="N183" s="3"/>
    </row>
    <row r="184" spans="1:14" ht="15" customHeight="1" x14ac:dyDescent="0.3">
      <c r="A184" s="87"/>
      <c r="B184" s="74" t="s">
        <v>20</v>
      </c>
      <c r="C184" s="152" t="s">
        <v>127</v>
      </c>
      <c r="D184" s="153"/>
      <c r="E184" s="82" t="s">
        <v>51</v>
      </c>
      <c r="F184" s="81">
        <f>F180</f>
        <v>63977511.400000006</v>
      </c>
      <c r="G184" s="76"/>
      <c r="H184" s="76"/>
      <c r="I184" s="76"/>
      <c r="J184" s="78">
        <v>0</v>
      </c>
      <c r="K184" s="79">
        <f>F184*J184</f>
        <v>0</v>
      </c>
      <c r="L184" s="80">
        <f t="shared" si="16"/>
        <v>0</v>
      </c>
      <c r="N184" s="3"/>
    </row>
    <row r="185" spans="1:14" ht="15" customHeight="1" x14ac:dyDescent="0.3">
      <c r="A185" s="71"/>
      <c r="B185" s="74" t="s">
        <v>21</v>
      </c>
      <c r="C185" s="156" t="s">
        <v>54</v>
      </c>
      <c r="D185" s="157"/>
      <c r="E185" s="75" t="s">
        <v>51</v>
      </c>
      <c r="F185" s="81">
        <f>F180</f>
        <v>63977511.400000006</v>
      </c>
      <c r="G185" s="76"/>
      <c r="H185" s="76"/>
      <c r="I185" s="76"/>
      <c r="J185" s="78">
        <v>2.2000000000000001E-3</v>
      </c>
      <c r="K185" s="79">
        <f>F185*J185</f>
        <v>140750.52508000002</v>
      </c>
      <c r="L185" s="80">
        <f t="shared" si="16"/>
        <v>173123.14584840002</v>
      </c>
      <c r="N185" s="3"/>
    </row>
    <row r="186" spans="1:14" ht="15" customHeight="1" x14ac:dyDescent="0.3">
      <c r="B186" s="131" t="s">
        <v>83</v>
      </c>
      <c r="C186" s="156" t="s">
        <v>156</v>
      </c>
      <c r="D186" s="157"/>
      <c r="E186" s="75" t="s">
        <v>51</v>
      </c>
      <c r="F186" s="81">
        <f>F180*0.12</f>
        <v>7677301.3680000007</v>
      </c>
      <c r="G186" s="76"/>
      <c r="H186" s="76"/>
      <c r="I186" s="76"/>
      <c r="J186" s="78">
        <v>7.6200000000000004E-2</v>
      </c>
      <c r="K186" s="79">
        <f>F186*J186</f>
        <v>585010.36424160004</v>
      </c>
      <c r="L186" s="80">
        <f t="shared" si="16"/>
        <v>719562.74801716802</v>
      </c>
      <c r="N186" s="3"/>
    </row>
    <row r="187" spans="1:14" ht="26.4" customHeight="1" thickBot="1" x14ac:dyDescent="0.35">
      <c r="A187" s="87"/>
      <c r="B187" s="83">
        <v>12</v>
      </c>
      <c r="C187" s="158" t="s">
        <v>139</v>
      </c>
      <c r="D187" s="159"/>
      <c r="E187" s="159"/>
      <c r="F187" s="159"/>
      <c r="G187" s="159"/>
      <c r="H187" s="159"/>
      <c r="I187" s="159"/>
      <c r="J187" s="159"/>
      <c r="K187" s="160"/>
      <c r="L187" s="84">
        <f>SUM(L178:L186)</f>
        <v>11598049.792235989</v>
      </c>
      <c r="N187" s="3"/>
    </row>
    <row r="188" spans="1:14" ht="42" customHeight="1" x14ac:dyDescent="0.3">
      <c r="A188" s="87"/>
      <c r="B188" s="85"/>
      <c r="C188" s="174" t="s">
        <v>69</v>
      </c>
      <c r="D188" s="175"/>
      <c r="E188" s="175"/>
      <c r="F188" s="175"/>
      <c r="G188" s="175"/>
      <c r="H188" s="175"/>
      <c r="I188" s="175"/>
      <c r="J188" s="175"/>
      <c r="K188" s="176"/>
      <c r="L188" s="86"/>
      <c r="N188" s="3"/>
    </row>
    <row r="189" spans="1:14" x14ac:dyDescent="0.3">
      <c r="A189" s="87"/>
      <c r="B189" s="74" t="s">
        <v>8</v>
      </c>
      <c r="C189" s="152" t="s">
        <v>46</v>
      </c>
      <c r="D189" s="153"/>
      <c r="E189" s="75" t="s">
        <v>47</v>
      </c>
      <c r="F189" s="76"/>
      <c r="G189" s="76"/>
      <c r="H189" s="77">
        <v>12</v>
      </c>
      <c r="I189" s="141">
        <v>266</v>
      </c>
      <c r="J189" s="78">
        <v>2</v>
      </c>
      <c r="K189" s="79">
        <f>H189*I189*J189</f>
        <v>6384</v>
      </c>
      <c r="L189" s="80">
        <f t="shared" ref="L189:L196" si="17">K189*1.23</f>
        <v>7852.32</v>
      </c>
      <c r="N189" s="3"/>
    </row>
    <row r="190" spans="1:14" ht="15" customHeight="1" x14ac:dyDescent="0.3">
      <c r="A190" s="87"/>
      <c r="B190" s="74" t="s">
        <v>11</v>
      </c>
      <c r="C190" s="152" t="s">
        <v>48</v>
      </c>
      <c r="D190" s="153"/>
      <c r="E190" s="75" t="s">
        <v>49</v>
      </c>
      <c r="F190" s="76"/>
      <c r="G190" s="140">
        <v>987</v>
      </c>
      <c r="H190" s="77">
        <v>12</v>
      </c>
      <c r="I190" s="76"/>
      <c r="J190" s="78">
        <v>0.08</v>
      </c>
      <c r="K190" s="79">
        <f>G190*H190*J190</f>
        <v>947.52</v>
      </c>
      <c r="L190" s="80">
        <f t="shared" si="17"/>
        <v>1165.4495999999999</v>
      </c>
      <c r="N190" s="3"/>
    </row>
    <row r="191" spans="1:14" ht="15" customHeight="1" x14ac:dyDescent="0.3">
      <c r="A191" s="87"/>
      <c r="B191" s="74" t="s">
        <v>13</v>
      </c>
      <c r="C191" s="152" t="s">
        <v>50</v>
      </c>
      <c r="D191" s="153"/>
      <c r="E191" s="75" t="s">
        <v>51</v>
      </c>
      <c r="F191" s="81">
        <f>E31</f>
        <v>1076476.1000000001</v>
      </c>
      <c r="G191" s="76"/>
      <c r="H191" s="76"/>
      <c r="I191" s="76"/>
      <c r="J191" s="78">
        <v>1.0200000000000001E-2</v>
      </c>
      <c r="K191" s="79">
        <f>F191*J191</f>
        <v>10980.056220000002</v>
      </c>
      <c r="L191" s="80">
        <f t="shared" si="17"/>
        <v>13505.469150600002</v>
      </c>
      <c r="N191" s="3"/>
    </row>
    <row r="192" spans="1:14" ht="15" customHeight="1" x14ac:dyDescent="0.3">
      <c r="A192" s="87"/>
      <c r="B192" s="74" t="s">
        <v>15</v>
      </c>
      <c r="C192" s="154" t="s">
        <v>52</v>
      </c>
      <c r="D192" s="155"/>
      <c r="E192" s="82" t="s">
        <v>51</v>
      </c>
      <c r="F192" s="81">
        <f>F191</f>
        <v>1076476.1000000001</v>
      </c>
      <c r="G192" s="76"/>
      <c r="H192" s="76"/>
      <c r="I192" s="76"/>
      <c r="J192" s="78">
        <v>0.1074</v>
      </c>
      <c r="K192" s="79">
        <f>J192*F192</f>
        <v>115613.53314</v>
      </c>
      <c r="L192" s="80">
        <f t="shared" si="17"/>
        <v>142204.6457622</v>
      </c>
      <c r="N192" s="3"/>
    </row>
    <row r="193" spans="1:14" ht="15" customHeight="1" x14ac:dyDescent="0.3">
      <c r="A193" s="87"/>
      <c r="B193" s="74" t="s">
        <v>17</v>
      </c>
      <c r="C193" s="152" t="s">
        <v>53</v>
      </c>
      <c r="D193" s="153"/>
      <c r="E193" s="75" t="s">
        <v>49</v>
      </c>
      <c r="F193" s="76"/>
      <c r="G193" s="81">
        <f>G190</f>
        <v>987</v>
      </c>
      <c r="H193" s="77">
        <v>12</v>
      </c>
      <c r="I193" s="76"/>
      <c r="J193" s="78">
        <v>4.84</v>
      </c>
      <c r="K193" s="79">
        <f>J193*H193*G193</f>
        <v>57324.959999999999</v>
      </c>
      <c r="L193" s="80">
        <f t="shared" si="17"/>
        <v>70509.700799999991</v>
      </c>
      <c r="N193" s="3"/>
    </row>
    <row r="194" spans="1:14" ht="15" customHeight="1" x14ac:dyDescent="0.3">
      <c r="A194" s="87"/>
      <c r="B194" s="74" t="s">
        <v>20</v>
      </c>
      <c r="C194" s="152" t="s">
        <v>127</v>
      </c>
      <c r="D194" s="153"/>
      <c r="E194" s="82" t="s">
        <v>51</v>
      </c>
      <c r="F194" s="81">
        <f>F191</f>
        <v>1076476.1000000001</v>
      </c>
      <c r="G194" s="76"/>
      <c r="H194" s="76"/>
      <c r="I194" s="76"/>
      <c r="J194" s="78">
        <v>0</v>
      </c>
      <c r="K194" s="79">
        <f>F194*J194</f>
        <v>0</v>
      </c>
      <c r="L194" s="80">
        <f t="shared" si="17"/>
        <v>0</v>
      </c>
      <c r="N194" s="3"/>
    </row>
    <row r="195" spans="1:14" ht="15" customHeight="1" x14ac:dyDescent="0.3">
      <c r="A195" s="71"/>
      <c r="B195" s="74" t="s">
        <v>21</v>
      </c>
      <c r="C195" s="156" t="s">
        <v>54</v>
      </c>
      <c r="D195" s="157"/>
      <c r="E195" s="75" t="s">
        <v>51</v>
      </c>
      <c r="F195" s="81">
        <f>F191</f>
        <v>1076476.1000000001</v>
      </c>
      <c r="G195" s="76"/>
      <c r="H195" s="76"/>
      <c r="I195" s="76"/>
      <c r="J195" s="78">
        <v>2.2000000000000001E-3</v>
      </c>
      <c r="K195" s="79">
        <f>F195*J195</f>
        <v>2368.2474200000001</v>
      </c>
      <c r="L195" s="80">
        <f t="shared" si="17"/>
        <v>2912.9443266000003</v>
      </c>
      <c r="N195" s="3"/>
    </row>
    <row r="196" spans="1:14" ht="15" customHeight="1" x14ac:dyDescent="0.3">
      <c r="B196" s="131" t="s">
        <v>83</v>
      </c>
      <c r="C196" s="156" t="s">
        <v>156</v>
      </c>
      <c r="D196" s="157"/>
      <c r="E196" s="75" t="s">
        <v>51</v>
      </c>
      <c r="F196" s="81">
        <f>F191*0.12</f>
        <v>129177.13200000001</v>
      </c>
      <c r="G196" s="76"/>
      <c r="H196" s="76"/>
      <c r="I196" s="76"/>
      <c r="J196" s="78">
        <v>7.6200000000000004E-2</v>
      </c>
      <c r="K196" s="79">
        <f>F196*J196</f>
        <v>9843.2974584000021</v>
      </c>
      <c r="L196" s="80">
        <f t="shared" si="17"/>
        <v>12107.255873832002</v>
      </c>
      <c r="N196" s="3"/>
    </row>
    <row r="197" spans="1:14" ht="24.6" customHeight="1" thickBot="1" x14ac:dyDescent="0.35">
      <c r="A197" s="87"/>
      <c r="B197" s="83">
        <v>13</v>
      </c>
      <c r="C197" s="158" t="s">
        <v>140</v>
      </c>
      <c r="D197" s="159"/>
      <c r="E197" s="159"/>
      <c r="F197" s="159"/>
      <c r="G197" s="159"/>
      <c r="H197" s="159"/>
      <c r="I197" s="159"/>
      <c r="J197" s="159"/>
      <c r="K197" s="160"/>
      <c r="L197" s="84">
        <f>SUM(L189:L196)</f>
        <v>250257.785513232</v>
      </c>
      <c r="N197" s="3"/>
    </row>
    <row r="198" spans="1:14" ht="39.6" customHeight="1" x14ac:dyDescent="0.3">
      <c r="A198" s="87"/>
      <c r="B198" s="85"/>
      <c r="C198" s="174" t="s">
        <v>70</v>
      </c>
      <c r="D198" s="175"/>
      <c r="E198" s="175"/>
      <c r="F198" s="175"/>
      <c r="G198" s="175"/>
      <c r="H198" s="175"/>
      <c r="I198" s="175"/>
      <c r="J198" s="175"/>
      <c r="K198" s="176"/>
      <c r="L198" s="86"/>
      <c r="N198" s="3"/>
    </row>
    <row r="199" spans="1:14" x14ac:dyDescent="0.3">
      <c r="A199" s="87"/>
      <c r="B199" s="74" t="s">
        <v>8</v>
      </c>
      <c r="C199" s="152" t="s">
        <v>46</v>
      </c>
      <c r="D199" s="153"/>
      <c r="E199" s="75" t="s">
        <v>47</v>
      </c>
      <c r="F199" s="76"/>
      <c r="G199" s="76"/>
      <c r="H199" s="77">
        <v>12</v>
      </c>
      <c r="I199" s="141">
        <v>540</v>
      </c>
      <c r="J199" s="78">
        <v>1.58</v>
      </c>
      <c r="K199" s="79">
        <f>H199*I199*J199</f>
        <v>10238.4</v>
      </c>
      <c r="L199" s="80">
        <f t="shared" ref="L199:L206" si="18">K199*1.23</f>
        <v>12593.232</v>
      </c>
      <c r="N199" s="3"/>
    </row>
    <row r="200" spans="1:14" ht="15" customHeight="1" x14ac:dyDescent="0.3">
      <c r="B200" s="74" t="s">
        <v>11</v>
      </c>
      <c r="C200" s="152" t="s">
        <v>48</v>
      </c>
      <c r="D200" s="153"/>
      <c r="E200" s="75" t="s">
        <v>47</v>
      </c>
      <c r="F200" s="76"/>
      <c r="G200" s="76"/>
      <c r="H200" s="77">
        <v>12</v>
      </c>
      <c r="I200" s="77">
        <f>I199</f>
        <v>540</v>
      </c>
      <c r="J200" s="78">
        <v>0.33</v>
      </c>
      <c r="K200" s="79">
        <f>H200*I200*J200</f>
        <v>2138.4</v>
      </c>
      <c r="L200" s="80">
        <f t="shared" si="18"/>
        <v>2630.232</v>
      </c>
      <c r="N200" s="3"/>
    </row>
    <row r="201" spans="1:14" ht="15" customHeight="1" x14ac:dyDescent="0.3">
      <c r="B201" s="74" t="s">
        <v>13</v>
      </c>
      <c r="C201" s="152" t="s">
        <v>50</v>
      </c>
      <c r="D201" s="153"/>
      <c r="E201" s="75" t="s">
        <v>51</v>
      </c>
      <c r="F201" s="81">
        <f>E33</f>
        <v>1287753.5</v>
      </c>
      <c r="G201" s="76"/>
      <c r="H201" s="76"/>
      <c r="I201" s="76"/>
      <c r="J201" s="78">
        <v>1.0200000000000001E-2</v>
      </c>
      <c r="K201" s="79">
        <f>F201*J201</f>
        <v>13135.085700000001</v>
      </c>
      <c r="L201" s="80">
        <f t="shared" si="18"/>
        <v>16156.155411000002</v>
      </c>
      <c r="N201" s="3"/>
    </row>
    <row r="202" spans="1:14" ht="15" customHeight="1" x14ac:dyDescent="0.3">
      <c r="B202" s="74" t="s">
        <v>15</v>
      </c>
      <c r="C202" s="154" t="s">
        <v>52</v>
      </c>
      <c r="D202" s="155"/>
      <c r="E202" s="82" t="s">
        <v>51</v>
      </c>
      <c r="F202" s="81">
        <f>F201</f>
        <v>1287753.5</v>
      </c>
      <c r="G202" s="76"/>
      <c r="H202" s="76"/>
      <c r="I202" s="76"/>
      <c r="J202" s="78">
        <v>0.23350000000000001</v>
      </c>
      <c r="K202" s="79">
        <f>J202*F202</f>
        <v>300690.44225000002</v>
      </c>
      <c r="L202" s="80">
        <f t="shared" si="18"/>
        <v>369849.24396750005</v>
      </c>
      <c r="N202" s="3"/>
    </row>
    <row r="203" spans="1:14" ht="15" customHeight="1" x14ac:dyDescent="0.3">
      <c r="B203" s="74" t="s">
        <v>17</v>
      </c>
      <c r="C203" s="152" t="s">
        <v>53</v>
      </c>
      <c r="D203" s="153"/>
      <c r="E203" s="75" t="s">
        <v>47</v>
      </c>
      <c r="F203" s="76"/>
      <c r="G203" s="76"/>
      <c r="H203" s="77">
        <v>12</v>
      </c>
      <c r="I203" s="77">
        <f>I199</f>
        <v>540</v>
      </c>
      <c r="J203" s="78">
        <v>7.49</v>
      </c>
      <c r="K203" s="79">
        <f>H203*I203*J203</f>
        <v>48535.200000000004</v>
      </c>
      <c r="L203" s="80">
        <f t="shared" si="18"/>
        <v>59698.296000000002</v>
      </c>
      <c r="N203" s="3"/>
    </row>
    <row r="204" spans="1:14" ht="15" customHeight="1" x14ac:dyDescent="0.3">
      <c r="B204" s="74" t="s">
        <v>18</v>
      </c>
      <c r="C204" s="152" t="s">
        <v>127</v>
      </c>
      <c r="D204" s="153"/>
      <c r="E204" s="82" t="s">
        <v>51</v>
      </c>
      <c r="F204" s="81">
        <f>F201</f>
        <v>1287753.5</v>
      </c>
      <c r="G204" s="76"/>
      <c r="H204" s="76"/>
      <c r="I204" s="76"/>
      <c r="J204" s="78">
        <v>0</v>
      </c>
      <c r="K204" s="79">
        <f>F204*J204</f>
        <v>0</v>
      </c>
      <c r="L204" s="80">
        <f t="shared" si="18"/>
        <v>0</v>
      </c>
      <c r="N204" s="3"/>
    </row>
    <row r="205" spans="1:14" ht="15" customHeight="1" x14ac:dyDescent="0.3">
      <c r="A205" s="71"/>
      <c r="B205" s="74" t="s">
        <v>20</v>
      </c>
      <c r="C205" s="156" t="s">
        <v>54</v>
      </c>
      <c r="D205" s="157"/>
      <c r="E205" s="75" t="s">
        <v>51</v>
      </c>
      <c r="F205" s="81">
        <f>F201</f>
        <v>1287753.5</v>
      </c>
      <c r="G205" s="76"/>
      <c r="H205" s="76"/>
      <c r="I205" s="76"/>
      <c r="J205" s="78">
        <v>2.2000000000000001E-3</v>
      </c>
      <c r="K205" s="79">
        <f>F205*J205</f>
        <v>2833.0577000000003</v>
      </c>
      <c r="L205" s="80">
        <f t="shared" si="18"/>
        <v>3484.6609710000002</v>
      </c>
      <c r="N205" s="3"/>
    </row>
    <row r="206" spans="1:14" ht="15" customHeight="1" x14ac:dyDescent="0.3">
      <c r="B206" s="131" t="s">
        <v>21</v>
      </c>
      <c r="C206" s="156" t="s">
        <v>156</v>
      </c>
      <c r="D206" s="157"/>
      <c r="E206" s="75" t="s">
        <v>47</v>
      </c>
      <c r="F206" s="76"/>
      <c r="G206" s="76"/>
      <c r="H206" s="77">
        <v>12</v>
      </c>
      <c r="I206" s="77">
        <f>I199</f>
        <v>540</v>
      </c>
      <c r="J206" s="78">
        <v>10.46</v>
      </c>
      <c r="K206" s="79">
        <f>H206*I206*J206</f>
        <v>67780.800000000003</v>
      </c>
      <c r="L206" s="80">
        <f t="shared" si="18"/>
        <v>83370.384000000005</v>
      </c>
      <c r="N206" s="3"/>
    </row>
    <row r="207" spans="1:14" ht="26.4" customHeight="1" thickBot="1" x14ac:dyDescent="0.35">
      <c r="B207" s="89">
        <v>14</v>
      </c>
      <c r="C207" s="240" t="s">
        <v>141</v>
      </c>
      <c r="D207" s="241"/>
      <c r="E207" s="241"/>
      <c r="F207" s="241"/>
      <c r="G207" s="241"/>
      <c r="H207" s="241"/>
      <c r="I207" s="241"/>
      <c r="J207" s="241"/>
      <c r="K207" s="242"/>
      <c r="L207" s="84">
        <f>SUM(L199:L206)</f>
        <v>547782.20434950001</v>
      </c>
      <c r="N207" s="3"/>
    </row>
    <row r="208" spans="1:14" ht="43.2" customHeight="1" x14ac:dyDescent="0.3">
      <c r="B208" s="90"/>
      <c r="C208" s="246" t="s">
        <v>104</v>
      </c>
      <c r="D208" s="247"/>
      <c r="E208" s="247"/>
      <c r="F208" s="247"/>
      <c r="G208" s="247"/>
      <c r="H208" s="247"/>
      <c r="I208" s="247"/>
      <c r="J208" s="247"/>
      <c r="K208" s="248"/>
      <c r="L208" s="86"/>
      <c r="N208" s="3"/>
    </row>
    <row r="209" spans="1:14" x14ac:dyDescent="0.3">
      <c r="B209" s="91" t="s">
        <v>8</v>
      </c>
      <c r="C209" s="152" t="s">
        <v>46</v>
      </c>
      <c r="D209" s="153"/>
      <c r="E209" s="75" t="s">
        <v>47</v>
      </c>
      <c r="F209" s="76"/>
      <c r="G209" s="76"/>
      <c r="H209" s="77">
        <v>12</v>
      </c>
      <c r="I209" s="141">
        <v>3</v>
      </c>
      <c r="J209" s="78">
        <v>1.58</v>
      </c>
      <c r="K209" s="79">
        <f>H209*I209*J209</f>
        <v>56.88</v>
      </c>
      <c r="L209" s="80">
        <f t="shared" ref="L209:L217" si="19">K209*1.23</f>
        <v>69.962400000000002</v>
      </c>
      <c r="N209" s="3"/>
    </row>
    <row r="210" spans="1:14" ht="15" customHeight="1" x14ac:dyDescent="0.3">
      <c r="B210" s="91" t="s">
        <v>11</v>
      </c>
      <c r="C210" s="152" t="s">
        <v>48</v>
      </c>
      <c r="D210" s="153"/>
      <c r="E210" s="75" t="s">
        <v>47</v>
      </c>
      <c r="F210" s="76"/>
      <c r="G210" s="76"/>
      <c r="H210" s="77">
        <v>12</v>
      </c>
      <c r="I210" s="77">
        <f>I209</f>
        <v>3</v>
      </c>
      <c r="J210" s="78">
        <v>0.33</v>
      </c>
      <c r="K210" s="79">
        <f>H210*I210*J210</f>
        <v>11.88</v>
      </c>
      <c r="L210" s="80">
        <f t="shared" si="19"/>
        <v>14.612400000000001</v>
      </c>
      <c r="N210" s="3"/>
    </row>
    <row r="211" spans="1:14" ht="15" customHeight="1" x14ac:dyDescent="0.3">
      <c r="B211" s="91" t="s">
        <v>13</v>
      </c>
      <c r="C211" s="152" t="s">
        <v>50</v>
      </c>
      <c r="D211" s="153"/>
      <c r="E211" s="75" t="s">
        <v>51</v>
      </c>
      <c r="F211" s="81">
        <f>SUM(E34:E35)</f>
        <v>7828</v>
      </c>
      <c r="G211" s="76"/>
      <c r="H211" s="76"/>
      <c r="I211" s="76"/>
      <c r="J211" s="78">
        <v>1.0200000000000001E-2</v>
      </c>
      <c r="K211" s="79">
        <f>F211*J211</f>
        <v>79.845600000000005</v>
      </c>
      <c r="L211" s="80">
        <f t="shared" si="19"/>
        <v>98.210087999999999</v>
      </c>
      <c r="N211" s="3"/>
    </row>
    <row r="212" spans="1:14" ht="15" customHeight="1" x14ac:dyDescent="0.3">
      <c r="B212" s="91" t="s">
        <v>15</v>
      </c>
      <c r="C212" s="154" t="s">
        <v>55</v>
      </c>
      <c r="D212" s="155"/>
      <c r="E212" s="82" t="s">
        <v>51</v>
      </c>
      <c r="F212" s="81">
        <f>E34</f>
        <v>5816</v>
      </c>
      <c r="G212" s="76"/>
      <c r="H212" s="76"/>
      <c r="I212" s="76"/>
      <c r="J212" s="78">
        <v>0.25750000000000001</v>
      </c>
      <c r="K212" s="79">
        <f>F212*J212</f>
        <v>1497.6200000000001</v>
      </c>
      <c r="L212" s="80">
        <f t="shared" si="19"/>
        <v>1842.0726000000002</v>
      </c>
      <c r="N212" s="3"/>
    </row>
    <row r="213" spans="1:14" ht="15" customHeight="1" x14ac:dyDescent="0.3">
      <c r="B213" s="91" t="s">
        <v>17</v>
      </c>
      <c r="C213" s="154" t="s">
        <v>56</v>
      </c>
      <c r="D213" s="155"/>
      <c r="E213" s="82" t="s">
        <v>51</v>
      </c>
      <c r="F213" s="81">
        <f>E35</f>
        <v>2012</v>
      </c>
      <c r="G213" s="76"/>
      <c r="H213" s="76"/>
      <c r="I213" s="76"/>
      <c r="J213" s="78">
        <v>5.57E-2</v>
      </c>
      <c r="K213" s="79">
        <f>F213*J213</f>
        <v>112.0684</v>
      </c>
      <c r="L213" s="80">
        <f t="shared" si="19"/>
        <v>137.844132</v>
      </c>
      <c r="N213" s="3"/>
    </row>
    <row r="214" spans="1:14" ht="15" customHeight="1" x14ac:dyDescent="0.3">
      <c r="B214" s="91" t="s">
        <v>18</v>
      </c>
      <c r="C214" s="152" t="s">
        <v>53</v>
      </c>
      <c r="D214" s="153"/>
      <c r="E214" s="75" t="s">
        <v>47</v>
      </c>
      <c r="F214" s="76"/>
      <c r="G214" s="76"/>
      <c r="H214" s="77">
        <v>12</v>
      </c>
      <c r="I214" s="77">
        <f>I209</f>
        <v>3</v>
      </c>
      <c r="J214" s="78">
        <v>12.84</v>
      </c>
      <c r="K214" s="79">
        <f>H214*I214*J214</f>
        <v>462.24</v>
      </c>
      <c r="L214" s="80">
        <f t="shared" si="19"/>
        <v>568.55520000000001</v>
      </c>
      <c r="N214" s="3"/>
    </row>
    <row r="215" spans="1:14" ht="15" customHeight="1" x14ac:dyDescent="0.3">
      <c r="B215" s="74" t="s">
        <v>20</v>
      </c>
      <c r="C215" s="152" t="s">
        <v>127</v>
      </c>
      <c r="D215" s="153"/>
      <c r="E215" s="82" t="s">
        <v>51</v>
      </c>
      <c r="F215" s="81">
        <f>F211</f>
        <v>7828</v>
      </c>
      <c r="G215" s="76"/>
      <c r="H215" s="76"/>
      <c r="I215" s="76"/>
      <c r="J215" s="78">
        <v>0</v>
      </c>
      <c r="K215" s="79">
        <f>F215*J215</f>
        <v>0</v>
      </c>
      <c r="L215" s="80">
        <f t="shared" si="19"/>
        <v>0</v>
      </c>
      <c r="N215" s="3"/>
    </row>
    <row r="216" spans="1:14" ht="15" customHeight="1" x14ac:dyDescent="0.3">
      <c r="A216" s="71"/>
      <c r="B216" s="91" t="s">
        <v>21</v>
      </c>
      <c r="C216" s="156" t="s">
        <v>54</v>
      </c>
      <c r="D216" s="157"/>
      <c r="E216" s="75" t="s">
        <v>51</v>
      </c>
      <c r="F216" s="81">
        <f>F211</f>
        <v>7828</v>
      </c>
      <c r="G216" s="76"/>
      <c r="H216" s="76"/>
      <c r="I216" s="76"/>
      <c r="J216" s="78">
        <v>2.2000000000000001E-3</v>
      </c>
      <c r="K216" s="79">
        <f>F216*J216</f>
        <v>17.221600000000002</v>
      </c>
      <c r="L216" s="80">
        <f t="shared" si="19"/>
        <v>21.182568000000003</v>
      </c>
      <c r="N216" s="3"/>
    </row>
    <row r="217" spans="1:14" ht="15" customHeight="1" x14ac:dyDescent="0.3">
      <c r="B217" s="131" t="s">
        <v>83</v>
      </c>
      <c r="C217" s="156" t="s">
        <v>156</v>
      </c>
      <c r="D217" s="157"/>
      <c r="E217" s="75" t="s">
        <v>47</v>
      </c>
      <c r="F217" s="76"/>
      <c r="G217" s="76"/>
      <c r="H217" s="77">
        <v>12</v>
      </c>
      <c r="I217" s="77">
        <f>I209</f>
        <v>3</v>
      </c>
      <c r="J217" s="78">
        <v>10.46</v>
      </c>
      <c r="K217" s="79">
        <f>H217*I217*J217</f>
        <v>376.56000000000006</v>
      </c>
      <c r="L217" s="80">
        <f t="shared" si="19"/>
        <v>463.16880000000009</v>
      </c>
      <c r="N217" s="3"/>
    </row>
    <row r="218" spans="1:14" ht="21.6" customHeight="1" thickBot="1" x14ac:dyDescent="0.35">
      <c r="B218" s="92">
        <v>15</v>
      </c>
      <c r="C218" s="240" t="s">
        <v>142</v>
      </c>
      <c r="D218" s="241"/>
      <c r="E218" s="241"/>
      <c r="F218" s="241"/>
      <c r="G218" s="241"/>
      <c r="H218" s="241"/>
      <c r="I218" s="241"/>
      <c r="J218" s="241"/>
      <c r="K218" s="242"/>
      <c r="L218" s="84">
        <f>SUM(L209:L217)</f>
        <v>3215.6081880000006</v>
      </c>
      <c r="N218" s="3"/>
    </row>
    <row r="219" spans="1:14" ht="36" customHeight="1" x14ac:dyDescent="0.3">
      <c r="B219" s="90"/>
      <c r="C219" s="246" t="s">
        <v>71</v>
      </c>
      <c r="D219" s="247"/>
      <c r="E219" s="247"/>
      <c r="F219" s="247"/>
      <c r="G219" s="247"/>
      <c r="H219" s="247"/>
      <c r="I219" s="247"/>
      <c r="J219" s="247"/>
      <c r="K219" s="248"/>
      <c r="L219" s="86"/>
      <c r="N219" s="3"/>
    </row>
    <row r="220" spans="1:14" ht="15" customHeight="1" x14ac:dyDescent="0.3">
      <c r="B220" s="91" t="s">
        <v>8</v>
      </c>
      <c r="C220" s="152" t="s">
        <v>46</v>
      </c>
      <c r="D220" s="153"/>
      <c r="E220" s="75" t="s">
        <v>47</v>
      </c>
      <c r="F220" s="76"/>
      <c r="G220" s="76"/>
      <c r="H220" s="77">
        <v>12</v>
      </c>
      <c r="I220" s="141">
        <v>4</v>
      </c>
      <c r="J220" s="78">
        <v>1.58</v>
      </c>
      <c r="K220" s="79">
        <f>H220*I220*J220</f>
        <v>75.84</v>
      </c>
      <c r="L220" s="80">
        <f t="shared" ref="L220:L228" si="20">K220*1.23</f>
        <v>93.283200000000008</v>
      </c>
      <c r="N220" s="3"/>
    </row>
    <row r="221" spans="1:14" ht="15" customHeight="1" x14ac:dyDescent="0.3">
      <c r="B221" s="91" t="s">
        <v>11</v>
      </c>
      <c r="C221" s="152" t="s">
        <v>48</v>
      </c>
      <c r="D221" s="153"/>
      <c r="E221" s="75" t="s">
        <v>47</v>
      </c>
      <c r="F221" s="76"/>
      <c r="G221" s="76"/>
      <c r="H221" s="77">
        <v>12</v>
      </c>
      <c r="I221" s="77">
        <f>I220</f>
        <v>4</v>
      </c>
      <c r="J221" s="78">
        <v>0.33</v>
      </c>
      <c r="K221" s="79">
        <f>H221*I221*J221</f>
        <v>15.84</v>
      </c>
      <c r="L221" s="80">
        <f t="shared" si="20"/>
        <v>19.4832</v>
      </c>
      <c r="N221" s="3"/>
    </row>
    <row r="222" spans="1:14" ht="15" customHeight="1" x14ac:dyDescent="0.3">
      <c r="B222" s="91" t="s">
        <v>13</v>
      </c>
      <c r="C222" s="152" t="s">
        <v>50</v>
      </c>
      <c r="D222" s="153"/>
      <c r="E222" s="75" t="s">
        <v>51</v>
      </c>
      <c r="F222" s="81">
        <f>SUM(E36:E37)</f>
        <v>38330.400000000001</v>
      </c>
      <c r="G222" s="76"/>
      <c r="H222" s="76"/>
      <c r="I222" s="76"/>
      <c r="J222" s="78">
        <v>1.0200000000000001E-2</v>
      </c>
      <c r="K222" s="79">
        <f>F222*J222</f>
        <v>390.97008000000005</v>
      </c>
      <c r="L222" s="80">
        <f t="shared" si="20"/>
        <v>480.89319840000007</v>
      </c>
      <c r="N222" s="3"/>
    </row>
    <row r="223" spans="1:14" ht="15" customHeight="1" x14ac:dyDescent="0.3">
      <c r="B223" s="91" t="s">
        <v>15</v>
      </c>
      <c r="C223" s="154" t="s">
        <v>55</v>
      </c>
      <c r="D223" s="155"/>
      <c r="E223" s="82" t="s">
        <v>51</v>
      </c>
      <c r="F223" s="81">
        <f>E36</f>
        <v>4774.3999999999996</v>
      </c>
      <c r="G223" s="76"/>
      <c r="H223" s="76"/>
      <c r="I223" s="76"/>
      <c r="J223" s="78">
        <v>0.27010000000000001</v>
      </c>
      <c r="K223" s="79">
        <f>F223*J223</f>
        <v>1289.5654399999999</v>
      </c>
      <c r="L223" s="80">
        <f t="shared" si="20"/>
        <v>1586.1654911999999</v>
      </c>
      <c r="N223" s="3"/>
    </row>
    <row r="224" spans="1:14" ht="15" customHeight="1" x14ac:dyDescent="0.3">
      <c r="B224" s="91" t="s">
        <v>17</v>
      </c>
      <c r="C224" s="154" t="s">
        <v>56</v>
      </c>
      <c r="D224" s="155"/>
      <c r="E224" s="82" t="s">
        <v>51</v>
      </c>
      <c r="F224" s="81">
        <f>E37</f>
        <v>33556</v>
      </c>
      <c r="G224" s="76"/>
      <c r="H224" s="76"/>
      <c r="I224" s="76"/>
      <c r="J224" s="78">
        <v>5.6899999999999999E-2</v>
      </c>
      <c r="K224" s="79">
        <f>F224*J224</f>
        <v>1909.3363999999999</v>
      </c>
      <c r="L224" s="80">
        <f t="shared" si="20"/>
        <v>2348.483772</v>
      </c>
      <c r="N224" s="3"/>
    </row>
    <row r="225" spans="1:14" ht="15" customHeight="1" x14ac:dyDescent="0.3">
      <c r="B225" s="91" t="s">
        <v>18</v>
      </c>
      <c r="C225" s="152" t="s">
        <v>53</v>
      </c>
      <c r="D225" s="153"/>
      <c r="E225" s="75" t="s">
        <v>47</v>
      </c>
      <c r="F225" s="76"/>
      <c r="G225" s="76"/>
      <c r="H225" s="77">
        <v>12</v>
      </c>
      <c r="I225" s="77">
        <f>I220</f>
        <v>4</v>
      </c>
      <c r="J225" s="78">
        <v>12.84</v>
      </c>
      <c r="K225" s="79">
        <f>H225*I225*J225</f>
        <v>616.31999999999994</v>
      </c>
      <c r="L225" s="80">
        <f t="shared" si="20"/>
        <v>758.07359999999994</v>
      </c>
      <c r="N225" s="3"/>
    </row>
    <row r="226" spans="1:14" ht="15" customHeight="1" x14ac:dyDescent="0.3">
      <c r="A226" s="71"/>
      <c r="B226" s="74" t="s">
        <v>20</v>
      </c>
      <c r="C226" s="152" t="s">
        <v>127</v>
      </c>
      <c r="D226" s="153"/>
      <c r="E226" s="82" t="s">
        <v>51</v>
      </c>
      <c r="F226" s="81">
        <f>F222</f>
        <v>38330.400000000001</v>
      </c>
      <c r="G226" s="76"/>
      <c r="H226" s="76"/>
      <c r="I226" s="76"/>
      <c r="J226" s="78">
        <v>0</v>
      </c>
      <c r="K226" s="79">
        <f>F226*J226</f>
        <v>0</v>
      </c>
      <c r="L226" s="80">
        <f t="shared" si="20"/>
        <v>0</v>
      </c>
      <c r="N226" s="3"/>
    </row>
    <row r="227" spans="1:14" ht="15" customHeight="1" x14ac:dyDescent="0.3">
      <c r="B227" s="91" t="s">
        <v>21</v>
      </c>
      <c r="C227" s="156" t="s">
        <v>54</v>
      </c>
      <c r="D227" s="157"/>
      <c r="E227" s="75" t="s">
        <v>51</v>
      </c>
      <c r="F227" s="81">
        <f>F222</f>
        <v>38330.400000000001</v>
      </c>
      <c r="G227" s="76"/>
      <c r="H227" s="76"/>
      <c r="I227" s="76"/>
      <c r="J227" s="78">
        <v>2.2000000000000001E-3</v>
      </c>
      <c r="K227" s="79">
        <f>F227*J227</f>
        <v>84.326880000000003</v>
      </c>
      <c r="L227" s="80">
        <f t="shared" si="20"/>
        <v>103.7220624</v>
      </c>
      <c r="N227" s="3"/>
    </row>
    <row r="228" spans="1:14" x14ac:dyDescent="0.3">
      <c r="B228" s="131" t="s">
        <v>83</v>
      </c>
      <c r="C228" s="156" t="s">
        <v>156</v>
      </c>
      <c r="D228" s="157"/>
      <c r="E228" s="75" t="s">
        <v>47</v>
      </c>
      <c r="F228" s="76"/>
      <c r="G228" s="76"/>
      <c r="H228" s="77">
        <v>12</v>
      </c>
      <c r="I228" s="77">
        <f>I220</f>
        <v>4</v>
      </c>
      <c r="J228" s="78">
        <v>10.46</v>
      </c>
      <c r="K228" s="79">
        <f>H228*I228*J228</f>
        <v>502.08000000000004</v>
      </c>
      <c r="L228" s="80">
        <f t="shared" si="20"/>
        <v>617.55840000000001</v>
      </c>
      <c r="N228" s="3"/>
    </row>
    <row r="229" spans="1:14" ht="27" customHeight="1" thickBot="1" x14ac:dyDescent="0.35">
      <c r="B229" s="130">
        <v>16</v>
      </c>
      <c r="C229" s="240" t="s">
        <v>143</v>
      </c>
      <c r="D229" s="241"/>
      <c r="E229" s="241"/>
      <c r="F229" s="241"/>
      <c r="G229" s="241"/>
      <c r="H229" s="241"/>
      <c r="I229" s="241"/>
      <c r="J229" s="241"/>
      <c r="K229" s="242"/>
      <c r="L229" s="84">
        <f>SUM(L220:L228)</f>
        <v>6007.6629240000002</v>
      </c>
      <c r="N229" s="3"/>
    </row>
    <row r="230" spans="1:14" ht="39" customHeight="1" x14ac:dyDescent="0.3">
      <c r="B230" s="90"/>
      <c r="C230" s="246" t="s">
        <v>105</v>
      </c>
      <c r="D230" s="247"/>
      <c r="E230" s="247"/>
      <c r="F230" s="247"/>
      <c r="G230" s="247"/>
      <c r="H230" s="247"/>
      <c r="I230" s="247"/>
      <c r="J230" s="247"/>
      <c r="K230" s="248"/>
      <c r="L230" s="86"/>
      <c r="N230" s="3"/>
    </row>
    <row r="231" spans="1:14" ht="15" customHeight="1" x14ac:dyDescent="0.3">
      <c r="B231" s="91" t="s">
        <v>8</v>
      </c>
      <c r="C231" s="152" t="s">
        <v>48</v>
      </c>
      <c r="D231" s="153"/>
      <c r="E231" s="75" t="s">
        <v>49</v>
      </c>
      <c r="F231" s="76"/>
      <c r="G231" s="140">
        <v>138.5</v>
      </c>
      <c r="H231" s="77">
        <v>12</v>
      </c>
      <c r="I231" s="76"/>
      <c r="J231" s="78">
        <v>0.08</v>
      </c>
      <c r="K231" s="79">
        <f>G231*H231*J231</f>
        <v>132.96</v>
      </c>
      <c r="L231" s="80">
        <f t="shared" ref="L231" si="21">K231*1.23</f>
        <v>163.54080000000002</v>
      </c>
      <c r="N231" s="3"/>
    </row>
    <row r="232" spans="1:14" ht="15" customHeight="1" x14ac:dyDescent="0.3">
      <c r="B232" s="91" t="s">
        <v>11</v>
      </c>
      <c r="C232" s="152" t="s">
        <v>50</v>
      </c>
      <c r="D232" s="153"/>
      <c r="E232" s="75" t="s">
        <v>51</v>
      </c>
      <c r="F232" s="81">
        <f>E32</f>
        <v>6070</v>
      </c>
      <c r="G232" s="76"/>
      <c r="H232" s="76"/>
      <c r="I232" s="76"/>
      <c r="J232" s="78">
        <v>1.0200000000000001E-2</v>
      </c>
      <c r="K232" s="79">
        <f>F232*J232</f>
        <v>61.914000000000001</v>
      </c>
      <c r="L232" s="80">
        <f t="shared" ref="L232:L236" si="22">K232*1.23</f>
        <v>76.154219999999995</v>
      </c>
      <c r="N232" s="3"/>
    </row>
    <row r="233" spans="1:14" ht="15" customHeight="1" x14ac:dyDescent="0.3">
      <c r="B233" s="91" t="s">
        <v>13</v>
      </c>
      <c r="C233" s="154" t="s">
        <v>52</v>
      </c>
      <c r="D233" s="155"/>
      <c r="E233" s="82" t="s">
        <v>51</v>
      </c>
      <c r="F233" s="81">
        <f>F232</f>
        <v>6070</v>
      </c>
      <c r="G233" s="76"/>
      <c r="H233" s="76"/>
      <c r="I233" s="76"/>
      <c r="J233" s="78">
        <v>0.27500000000000002</v>
      </c>
      <c r="K233" s="79">
        <f>J233*F233</f>
        <v>1669.2500000000002</v>
      </c>
      <c r="L233" s="80">
        <f t="shared" si="22"/>
        <v>2053.1775000000002</v>
      </c>
      <c r="N233" s="3"/>
    </row>
    <row r="234" spans="1:14" ht="15" customHeight="1" x14ac:dyDescent="0.3">
      <c r="A234" s="71"/>
      <c r="B234" s="91" t="s">
        <v>15</v>
      </c>
      <c r="C234" s="152" t="s">
        <v>53</v>
      </c>
      <c r="D234" s="153"/>
      <c r="E234" s="75" t="s">
        <v>49</v>
      </c>
      <c r="F234" s="76"/>
      <c r="G234" s="81">
        <f>G231</f>
        <v>138.5</v>
      </c>
      <c r="H234" s="77">
        <v>12</v>
      </c>
      <c r="I234" s="76"/>
      <c r="J234" s="78">
        <v>5.71</v>
      </c>
      <c r="K234" s="79">
        <f>J234*H234*G234</f>
        <v>9490.0199999999986</v>
      </c>
      <c r="L234" s="80">
        <f t="shared" si="22"/>
        <v>11672.724599999998</v>
      </c>
      <c r="N234" s="3"/>
    </row>
    <row r="235" spans="1:14" ht="15" customHeight="1" x14ac:dyDescent="0.3">
      <c r="A235" s="71"/>
      <c r="B235" s="74" t="s">
        <v>17</v>
      </c>
      <c r="C235" s="152" t="s">
        <v>127</v>
      </c>
      <c r="D235" s="153"/>
      <c r="E235" s="82" t="s">
        <v>51</v>
      </c>
      <c r="F235" s="81">
        <f>F232</f>
        <v>6070</v>
      </c>
      <c r="G235" s="76"/>
      <c r="H235" s="76"/>
      <c r="I235" s="76"/>
      <c r="J235" s="78">
        <v>0</v>
      </c>
      <c r="K235" s="79">
        <f>F235*J235</f>
        <v>0</v>
      </c>
      <c r="L235" s="80">
        <f t="shared" si="22"/>
        <v>0</v>
      </c>
      <c r="N235" s="3"/>
    </row>
    <row r="236" spans="1:14" ht="15" customHeight="1" x14ac:dyDescent="0.3">
      <c r="B236" s="91" t="s">
        <v>18</v>
      </c>
      <c r="C236" s="156" t="s">
        <v>54</v>
      </c>
      <c r="D236" s="157"/>
      <c r="E236" s="75" t="s">
        <v>51</v>
      </c>
      <c r="F236" s="81">
        <f>F232</f>
        <v>6070</v>
      </c>
      <c r="G236" s="76"/>
      <c r="H236" s="76"/>
      <c r="I236" s="76"/>
      <c r="J236" s="78">
        <v>2.2000000000000001E-3</v>
      </c>
      <c r="K236" s="79">
        <f>F236*J236</f>
        <v>13.354000000000001</v>
      </c>
      <c r="L236" s="80">
        <f t="shared" si="22"/>
        <v>16.425420000000003</v>
      </c>
    </row>
    <row r="237" spans="1:14" x14ac:dyDescent="0.3">
      <c r="B237" s="128" t="s">
        <v>20</v>
      </c>
      <c r="C237" s="156" t="s">
        <v>156</v>
      </c>
      <c r="D237" s="157"/>
      <c r="E237" s="75" t="s">
        <v>47</v>
      </c>
      <c r="F237" s="76"/>
      <c r="G237" s="76"/>
      <c r="H237" s="77">
        <v>12</v>
      </c>
      <c r="I237" s="141">
        <v>10</v>
      </c>
      <c r="J237" s="78">
        <v>10.46</v>
      </c>
      <c r="K237" s="79">
        <f>H237*I237*J237</f>
        <v>1255.2</v>
      </c>
      <c r="L237" s="80">
        <f t="shared" ref="L237" si="23">K237*1.23</f>
        <v>1543.896</v>
      </c>
    </row>
    <row r="238" spans="1:14" ht="26.4" customHeight="1" thickBot="1" x14ac:dyDescent="0.35">
      <c r="B238" s="129">
        <v>17</v>
      </c>
      <c r="C238" s="249" t="s">
        <v>144</v>
      </c>
      <c r="D238" s="250"/>
      <c r="E238" s="250"/>
      <c r="F238" s="250"/>
      <c r="G238" s="250"/>
      <c r="H238" s="250"/>
      <c r="I238" s="250"/>
      <c r="J238" s="250"/>
      <c r="K238" s="251"/>
      <c r="L238" s="93">
        <f>SUM(L231:L237)</f>
        <v>15525.918539999999</v>
      </c>
    </row>
    <row r="239" spans="1:14" ht="51" customHeight="1" thickBot="1" x14ac:dyDescent="0.35">
      <c r="B239" s="94" t="s">
        <v>76</v>
      </c>
      <c r="C239" s="252" t="s">
        <v>158</v>
      </c>
      <c r="D239" s="253"/>
      <c r="E239" s="253"/>
      <c r="F239" s="253"/>
      <c r="G239" s="253"/>
      <c r="H239" s="253"/>
      <c r="I239" s="253"/>
      <c r="J239" s="253"/>
      <c r="K239" s="254"/>
      <c r="L239" s="95">
        <f>L238+L229+L218+L207+L197+L187+L176+L165+L154+L144+L132+L120+L98+L109+L88+L76+L64</f>
        <v>34457137.804970913</v>
      </c>
    </row>
    <row r="240" spans="1:14" ht="47.4" customHeight="1" thickBot="1" x14ac:dyDescent="0.35">
      <c r="B240" s="96" t="s">
        <v>72</v>
      </c>
      <c r="C240" s="243" t="s">
        <v>117</v>
      </c>
      <c r="D240" s="244"/>
      <c r="E240" s="244"/>
      <c r="F240" s="244"/>
      <c r="G240" s="244"/>
      <c r="H240" s="244"/>
      <c r="I240" s="244"/>
      <c r="J240" s="244"/>
      <c r="K240" s="245"/>
      <c r="L240" s="97">
        <f>Q40+L239</f>
        <v>89171385.230810657</v>
      </c>
    </row>
    <row r="241" spans="2:25" ht="13.95" customHeight="1" x14ac:dyDescent="0.3">
      <c r="B241" s="1"/>
      <c r="C241" s="1"/>
      <c r="D241" s="1"/>
      <c r="F241" s="1"/>
    </row>
    <row r="242" spans="2:25" ht="35.4" customHeight="1" x14ac:dyDescent="0.3">
      <c r="B242" s="132"/>
      <c r="C242" s="132"/>
      <c r="D242" s="132"/>
      <c r="E242" s="132"/>
      <c r="F242" s="132"/>
      <c r="G242" s="132"/>
      <c r="H242" s="132"/>
      <c r="I242" s="132"/>
      <c r="J242" s="132"/>
      <c r="K242" s="132"/>
      <c r="L242" s="288"/>
    </row>
    <row r="243" spans="2:25" s="133" customFormat="1" ht="20.25" customHeight="1" x14ac:dyDescent="0.25">
      <c r="B243" s="134" t="s">
        <v>77</v>
      </c>
      <c r="C243" s="135"/>
      <c r="D243" s="135"/>
      <c r="E243" s="135"/>
      <c r="F243" s="135"/>
      <c r="G243" s="135"/>
      <c r="H243" s="135"/>
      <c r="I243" s="135"/>
      <c r="J243" s="135"/>
      <c r="K243" s="135"/>
    </row>
    <row r="244" spans="2:25" s="133" customFormat="1" ht="20.25" customHeight="1" x14ac:dyDescent="0.25">
      <c r="B244" s="136" t="s">
        <v>73</v>
      </c>
      <c r="C244" s="136"/>
      <c r="D244" s="137"/>
      <c r="E244" s="137"/>
      <c r="F244" s="137"/>
      <c r="G244" s="137"/>
      <c r="H244" s="137"/>
      <c r="I244" s="137"/>
      <c r="J244" s="137"/>
      <c r="K244" s="137"/>
      <c r="L244" s="138"/>
    </row>
    <row r="245" spans="2:25" s="133" customFormat="1" ht="23.4" customHeight="1" x14ac:dyDescent="0.25">
      <c r="B245" s="136" t="s">
        <v>78</v>
      </c>
      <c r="C245" s="136"/>
      <c r="D245" s="137"/>
      <c r="E245" s="137"/>
      <c r="F245" s="137"/>
      <c r="G245" s="137"/>
      <c r="H245" s="137"/>
      <c r="I245" s="137"/>
      <c r="J245" s="137"/>
      <c r="K245" s="137"/>
      <c r="O245" s="98"/>
      <c r="P245" s="98"/>
      <c r="Q245" s="98"/>
      <c r="R245" s="98"/>
      <c r="S245" s="98"/>
      <c r="T245" s="98"/>
      <c r="U245" s="98"/>
      <c r="V245" s="98"/>
      <c r="W245" s="98"/>
      <c r="X245" s="98"/>
      <c r="Y245" s="98"/>
    </row>
    <row r="246" spans="2:25" s="98" customFormat="1" ht="18" customHeight="1" x14ac:dyDescent="0.25">
      <c r="B246" s="123" t="s">
        <v>159</v>
      </c>
      <c r="C246" s="123"/>
      <c r="D246" s="110"/>
      <c r="E246" s="110"/>
      <c r="F246" s="110"/>
      <c r="G246" s="110"/>
      <c r="H246" s="110"/>
      <c r="I246" s="110"/>
      <c r="J246" s="110"/>
      <c r="K246" s="110"/>
      <c r="L246" s="133"/>
      <c r="O246" s="139"/>
      <c r="P246" s="139"/>
      <c r="Q246" s="139"/>
      <c r="R246" s="139"/>
      <c r="S246" s="139"/>
      <c r="T246" s="139"/>
      <c r="U246" s="139"/>
      <c r="V246" s="139"/>
      <c r="W246" s="139"/>
      <c r="X246" s="139"/>
      <c r="Y246" s="139"/>
    </row>
    <row r="247" spans="2:25" s="139" customFormat="1" ht="20.399999999999999" customHeight="1" x14ac:dyDescent="0.25">
      <c r="B247" s="123" t="s">
        <v>116</v>
      </c>
      <c r="C247" s="123"/>
      <c r="D247" s="110"/>
      <c r="E247" s="110"/>
      <c r="F247" s="110"/>
      <c r="G247" s="110"/>
      <c r="H247" s="110"/>
      <c r="I247" s="110"/>
      <c r="J247" s="110"/>
      <c r="K247" s="110"/>
      <c r="L247" s="98"/>
      <c r="O247" s="133"/>
      <c r="P247" s="133"/>
      <c r="Q247" s="133"/>
      <c r="R247" s="133"/>
      <c r="S247" s="133"/>
      <c r="T247" s="133"/>
      <c r="U247" s="133"/>
      <c r="V247" s="133"/>
      <c r="W247" s="133"/>
      <c r="X247" s="133"/>
      <c r="Y247" s="133"/>
    </row>
    <row r="248" spans="2:25" ht="54.75" customHeight="1" x14ac:dyDescent="0.3">
      <c r="B248" s="122"/>
      <c r="C248" s="122"/>
      <c r="D248" s="100"/>
      <c r="E248" s="100"/>
      <c r="F248" s="100"/>
      <c r="G248" s="100"/>
      <c r="H248" s="100"/>
      <c r="I248" s="100"/>
      <c r="J248" s="100"/>
      <c r="K248" s="100"/>
      <c r="L248" s="99"/>
    </row>
    <row r="249" spans="2:25" ht="15" customHeight="1" x14ac:dyDescent="0.3">
      <c r="B249" s="101"/>
      <c r="C249" s="124"/>
      <c r="D249" s="102"/>
      <c r="E249" s="102"/>
      <c r="F249" s="102"/>
      <c r="G249" s="103"/>
      <c r="H249" s="102"/>
      <c r="I249" s="104"/>
      <c r="J249" s="102"/>
      <c r="K249" s="105"/>
    </row>
    <row r="250" spans="2:25" ht="15" customHeight="1" x14ac:dyDescent="0.3">
      <c r="B250" s="106"/>
      <c r="C250" s="102"/>
      <c r="D250" s="102"/>
      <c r="E250" s="102"/>
      <c r="F250" s="102"/>
      <c r="G250" s="103"/>
      <c r="H250" s="102"/>
      <c r="I250" s="104"/>
      <c r="J250" s="106" t="s">
        <v>74</v>
      </c>
      <c r="K250" s="105"/>
    </row>
    <row r="251" spans="2:25" ht="15" customHeight="1" x14ac:dyDescent="0.3">
      <c r="B251" s="106"/>
      <c r="C251" s="102"/>
      <c r="D251" s="102"/>
      <c r="E251" s="102"/>
      <c r="F251" s="102"/>
      <c r="G251" s="103"/>
      <c r="H251" s="102"/>
      <c r="I251" s="104"/>
      <c r="J251" s="107" t="s">
        <v>75</v>
      </c>
      <c r="K251" s="105"/>
    </row>
    <row r="252" spans="2:25" x14ac:dyDescent="0.3">
      <c r="B252" s="106"/>
      <c r="C252" s="102"/>
      <c r="D252" s="102"/>
      <c r="E252" s="102"/>
      <c r="F252" s="102"/>
      <c r="G252" s="103"/>
      <c r="H252" s="102"/>
      <c r="I252" s="104"/>
      <c r="J252" s="102"/>
      <c r="K252" s="105"/>
    </row>
  </sheetData>
  <sheetProtection algorithmName="SHA-512" hashValue="DT18t70aOmy3BYjPrLlguDL553+YbuoHVNo2Fln9eRQW0urlXIkM56UjkW8rQWdQyForVrSAHsKMgSTRrULABw==" saltValue="g8++wnOSmApmGnuXjxIfSg==" spinCount="100000" sheet="1" objects="1" scenarios="1"/>
  <mergeCells count="252">
    <mergeCell ref="C190:D190"/>
    <mergeCell ref="C192:D192"/>
    <mergeCell ref="C193:D193"/>
    <mergeCell ref="C195:D195"/>
    <mergeCell ref="C197:K197"/>
    <mergeCell ref="C169:D169"/>
    <mergeCell ref="C170:D170"/>
    <mergeCell ref="C171:D171"/>
    <mergeCell ref="C172:D172"/>
    <mergeCell ref="C191:D191"/>
    <mergeCell ref="C186:D186"/>
    <mergeCell ref="C175:D175"/>
    <mergeCell ref="C69:D69"/>
    <mergeCell ref="C70:D70"/>
    <mergeCell ref="C71:D71"/>
    <mergeCell ref="C72:D72"/>
    <mergeCell ref="C43:I43"/>
    <mergeCell ref="C44:I44"/>
    <mergeCell ref="C45:I45"/>
    <mergeCell ref="C58:D58"/>
    <mergeCell ref="C47:I47"/>
    <mergeCell ref="C66:D66"/>
    <mergeCell ref="C67:D67"/>
    <mergeCell ref="C68:D68"/>
    <mergeCell ref="C226:D226"/>
    <mergeCell ref="C146:D146"/>
    <mergeCell ref="C147:D147"/>
    <mergeCell ref="C148:D148"/>
    <mergeCell ref="C149:D149"/>
    <mergeCell ref="C150:D150"/>
    <mergeCell ref="C152:D152"/>
    <mergeCell ref="C154:K154"/>
    <mergeCell ref="C155:K155"/>
    <mergeCell ref="C156:D156"/>
    <mergeCell ref="C157:D157"/>
    <mergeCell ref="C158:D158"/>
    <mergeCell ref="C159:D159"/>
    <mergeCell ref="C160:D160"/>
    <mergeCell ref="C161:D161"/>
    <mergeCell ref="C163:D163"/>
    <mergeCell ref="C165:K165"/>
    <mergeCell ref="C166:K166"/>
    <mergeCell ref="C167:D167"/>
    <mergeCell ref="C162:D162"/>
    <mergeCell ref="C173:D173"/>
    <mergeCell ref="C194:D194"/>
    <mergeCell ref="C204:D204"/>
    <mergeCell ref="C215:D215"/>
    <mergeCell ref="C77:K77"/>
    <mergeCell ref="C76:K76"/>
    <mergeCell ref="M7:M9"/>
    <mergeCell ref="B52:B53"/>
    <mergeCell ref="C52:D53"/>
    <mergeCell ref="E52:E53"/>
    <mergeCell ref="C54:D54"/>
    <mergeCell ref="C55:K55"/>
    <mergeCell ref="C56:D56"/>
    <mergeCell ref="C46:I46"/>
    <mergeCell ref="C48:I48"/>
    <mergeCell ref="B5:B10"/>
    <mergeCell ref="C5:C10"/>
    <mergeCell ref="D5:D10"/>
    <mergeCell ref="E5:E9"/>
    <mergeCell ref="L7:L9"/>
    <mergeCell ref="C40:G40"/>
    <mergeCell ref="C13:C15"/>
    <mergeCell ref="C17:C18"/>
    <mergeCell ref="C21:C23"/>
    <mergeCell ref="C73:D73"/>
    <mergeCell ref="C62:D62"/>
    <mergeCell ref="C64:K64"/>
    <mergeCell ref="C65:K65"/>
    <mergeCell ref="C100:D100"/>
    <mergeCell ref="C101:D101"/>
    <mergeCell ref="C95:D95"/>
    <mergeCell ref="C90:D90"/>
    <mergeCell ref="C79:D79"/>
    <mergeCell ref="C80:D80"/>
    <mergeCell ref="C81:D81"/>
    <mergeCell ref="C82:D82"/>
    <mergeCell ref="C83:D83"/>
    <mergeCell ref="C84:D84"/>
    <mergeCell ref="C86:D86"/>
    <mergeCell ref="C88:K88"/>
    <mergeCell ref="C85:D85"/>
    <mergeCell ref="C89:K89"/>
    <mergeCell ref="C196:D196"/>
    <mergeCell ref="C224:D224"/>
    <mergeCell ref="C122:D122"/>
    <mergeCell ref="C123:D123"/>
    <mergeCell ref="C117:D117"/>
    <mergeCell ref="C129:D129"/>
    <mergeCell ref="C164:D164"/>
    <mergeCell ref="C141:D141"/>
    <mergeCell ref="C151:D151"/>
    <mergeCell ref="C174:D174"/>
    <mergeCell ref="C176:K176"/>
    <mergeCell ref="C177:K177"/>
    <mergeCell ref="C178:D178"/>
    <mergeCell ref="C179:D179"/>
    <mergeCell ref="C180:D180"/>
    <mergeCell ref="C181:D181"/>
    <mergeCell ref="C182:D182"/>
    <mergeCell ref="C183:D183"/>
    <mergeCell ref="C185:D185"/>
    <mergeCell ref="C187:K187"/>
    <mergeCell ref="C168:D168"/>
    <mergeCell ref="C184:D184"/>
    <mergeCell ref="C188:K188"/>
    <mergeCell ref="C189:D189"/>
    <mergeCell ref="C213:D213"/>
    <mergeCell ref="C214:D214"/>
    <mergeCell ref="C216:D216"/>
    <mergeCell ref="C218:K218"/>
    <mergeCell ref="C220:D220"/>
    <mergeCell ref="C221:D221"/>
    <mergeCell ref="C222:D222"/>
    <mergeCell ref="C198:K198"/>
    <mergeCell ref="C223:D223"/>
    <mergeCell ref="C217:D217"/>
    <mergeCell ref="C206:D206"/>
    <mergeCell ref="C240:K240"/>
    <mergeCell ref="C230:K230"/>
    <mergeCell ref="C231:D231"/>
    <mergeCell ref="C232:D232"/>
    <mergeCell ref="C233:D233"/>
    <mergeCell ref="C234:D234"/>
    <mergeCell ref="C236:D236"/>
    <mergeCell ref="C238:K238"/>
    <mergeCell ref="C239:K239"/>
    <mergeCell ref="C235:D235"/>
    <mergeCell ref="C237:D237"/>
    <mergeCell ref="K24:K32"/>
    <mergeCell ref="C19:C20"/>
    <mergeCell ref="C25:C26"/>
    <mergeCell ref="C27:C28"/>
    <mergeCell ref="I33:Q37"/>
    <mergeCell ref="C102:D102"/>
    <mergeCell ref="C103:D103"/>
    <mergeCell ref="C227:D227"/>
    <mergeCell ref="C229:K229"/>
    <mergeCell ref="C228:D228"/>
    <mergeCell ref="C225:D225"/>
    <mergeCell ref="C199:D199"/>
    <mergeCell ref="C200:D200"/>
    <mergeCell ref="C201:D201"/>
    <mergeCell ref="C202:D202"/>
    <mergeCell ref="C203:D203"/>
    <mergeCell ref="C205:D205"/>
    <mergeCell ref="C207:K207"/>
    <mergeCell ref="C219:K219"/>
    <mergeCell ref="C208:K208"/>
    <mergeCell ref="C209:D209"/>
    <mergeCell ref="C210:D210"/>
    <mergeCell ref="C211:D211"/>
    <mergeCell ref="C212:D212"/>
    <mergeCell ref="N7:N8"/>
    <mergeCell ref="N12:N32"/>
    <mergeCell ref="O24:O32"/>
    <mergeCell ref="I12:I32"/>
    <mergeCell ref="J7:J9"/>
    <mergeCell ref="O7:O8"/>
    <mergeCell ref="I7:I8"/>
    <mergeCell ref="C121:K121"/>
    <mergeCell ref="A36:A37"/>
    <mergeCell ref="L12:L32"/>
    <mergeCell ref="F12:F32"/>
    <mergeCell ref="C34:C35"/>
    <mergeCell ref="C36:C37"/>
    <mergeCell ref="A13:A15"/>
    <mergeCell ref="A17:A18"/>
    <mergeCell ref="A19:A20"/>
    <mergeCell ref="A21:A23"/>
    <mergeCell ref="A25:A26"/>
    <mergeCell ref="A27:A28"/>
    <mergeCell ref="A29:A30"/>
    <mergeCell ref="A34:A35"/>
    <mergeCell ref="C29:C30"/>
    <mergeCell ref="J24:J32"/>
    <mergeCell ref="H12:H32"/>
    <mergeCell ref="C144:K144"/>
    <mergeCell ref="C74:D74"/>
    <mergeCell ref="C78:D78"/>
    <mergeCell ref="C128:D128"/>
    <mergeCell ref="C130:D130"/>
    <mergeCell ref="C132:K132"/>
    <mergeCell ref="C133:K133"/>
    <mergeCell ref="B2:D2"/>
    <mergeCell ref="D3:M3"/>
    <mergeCell ref="F7:F9"/>
    <mergeCell ref="C38:D38"/>
    <mergeCell ref="C39:G39"/>
    <mergeCell ref="H7:H8"/>
    <mergeCell ref="G7:G8"/>
    <mergeCell ref="G12:G32"/>
    <mergeCell ref="C61:D61"/>
    <mergeCell ref="C57:D57"/>
    <mergeCell ref="C59:D59"/>
    <mergeCell ref="C60:D60"/>
    <mergeCell ref="K7:K8"/>
    <mergeCell ref="F6:H6"/>
    <mergeCell ref="M12:M32"/>
    <mergeCell ref="H40:P40"/>
    <mergeCell ref="F5:Q5"/>
    <mergeCell ref="P7:P8"/>
    <mergeCell ref="Q7:Q8"/>
    <mergeCell ref="I6:Q6"/>
    <mergeCell ref="C124:D124"/>
    <mergeCell ref="C125:D125"/>
    <mergeCell ref="C126:D126"/>
    <mergeCell ref="C127:D127"/>
    <mergeCell ref="C153:D153"/>
    <mergeCell ref="C143:D143"/>
    <mergeCell ref="C131:D131"/>
    <mergeCell ref="C119:D119"/>
    <mergeCell ref="C108:D108"/>
    <mergeCell ref="C97:D97"/>
    <mergeCell ref="C87:D87"/>
    <mergeCell ref="C75:D75"/>
    <mergeCell ref="C63:D63"/>
    <mergeCell ref="C135:D135"/>
    <mergeCell ref="C136:D136"/>
    <mergeCell ref="C137:D137"/>
    <mergeCell ref="C138:D138"/>
    <mergeCell ref="C139:D139"/>
    <mergeCell ref="C140:D140"/>
    <mergeCell ref="C142:D142"/>
    <mergeCell ref="C145:K145"/>
    <mergeCell ref="C134:D134"/>
    <mergeCell ref="C113:D113"/>
    <mergeCell ref="C114:D114"/>
    <mergeCell ref="C115:D115"/>
    <mergeCell ref="C116:D116"/>
    <mergeCell ref="C118:D118"/>
    <mergeCell ref="C120:K120"/>
    <mergeCell ref="I39:P39"/>
    <mergeCell ref="F38:Q38"/>
    <mergeCell ref="C104:D104"/>
    <mergeCell ref="C105:D105"/>
    <mergeCell ref="C107:D107"/>
    <mergeCell ref="C109:K109"/>
    <mergeCell ref="C110:K110"/>
    <mergeCell ref="C111:D111"/>
    <mergeCell ref="C112:D112"/>
    <mergeCell ref="C106:D106"/>
    <mergeCell ref="C91:D91"/>
    <mergeCell ref="C92:D92"/>
    <mergeCell ref="C93:D93"/>
    <mergeCell ref="C94:D94"/>
    <mergeCell ref="C96:D96"/>
    <mergeCell ref="C98:K98"/>
    <mergeCell ref="C99:K99"/>
  </mergeCells>
  <pageMargins left="0.4" right="0.17" top="0.64" bottom="0.94" header="0.28999999999999998" footer="0.17"/>
  <pageSetup paperSize="9" scale="28" firstPageNumber="0" fitToHeight="0" orientation="portrait" horizontalDpi="4294967293" verticalDpi="300" r:id="rId1"/>
  <headerFooter alignWithMargins="0"/>
  <ignoredErrors>
    <ignoredError sqref="K161 K72 K105 K84 K116 K128 K140 K172 K183 K214 K225" formula="1"/>
    <ignoredError sqref="F68:F74 F102:F106 F113:F116 F124 F158 F169 F180 F211 F222 E38" formulaRange="1"/>
    <ignoredError sqref="F81:F86 F162:F163" evalError="1"/>
    <ignoredError sqref="F107 F117:F118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3B do SWZ</vt:lpstr>
      <vt:lpstr>'Załącznik nr 3B do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Grzeliński Zbigniew</dc:creator>
  <cp:lastModifiedBy>Piotr Keszka</cp:lastModifiedBy>
  <cp:lastPrinted>2021-05-24T09:09:48Z</cp:lastPrinted>
  <dcterms:created xsi:type="dcterms:W3CDTF">2017-07-12T06:32:48Z</dcterms:created>
  <dcterms:modified xsi:type="dcterms:W3CDTF">2021-06-22T10:13:33Z</dcterms:modified>
</cp:coreProperties>
</file>